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ANO 2025\CONCORRÊNCIA\CP 014 2025 - PRESTAÇÃO DE SERVIÇOS DE TERRAPLANAGEM NA FUTURA SECRETARIA DE OBRAS\"/>
    </mc:Choice>
  </mc:AlternateContent>
  <bookViews>
    <workbookView xWindow="0" yWindow="0" windowWidth="28800" windowHeight="13005" tabRatio="500" firstSheet="1" activeTab="1"/>
  </bookViews>
  <sheets>
    <sheet name="CRONOGRAMA 2025" sheetId="1" r:id="rId1"/>
    <sheet name="MEMÓRIA  DE CÁLCULO QUANTITATIV" sheetId="2" r:id="rId2"/>
    <sheet name="ORÇAMENTO FINAL" sheetId="3" r:id="rId3"/>
    <sheet name="MEMÓRIA QUANTITATIVOS LOT 01" sheetId="4" state="hidden" r:id="rId4"/>
    <sheet name="ORÇAMENTO PROTÁZIO LOT 01" sheetId="5" state="hidden" r:id="rId5"/>
    <sheet name="Plan1" sheetId="6" state="hidden" r:id="rId6"/>
    <sheet name="Plan2" sheetId="7" state="hidden" r:id="rId7"/>
    <sheet name="BDI " sheetId="8" r:id="rId8"/>
    <sheet name="ORÇAMENTO LOT INDUSTRIAL ABC" sheetId="9" state="hidden" r:id="rId9"/>
    <sheet name="Relatório de Compatibilidade" sheetId="10" r:id="rId10"/>
  </sheets>
  <externalReferences>
    <externalReference r:id="rId11"/>
  </externalReferences>
  <definedNames>
    <definedName name="_xlnm._FilterDatabase" localSheetId="8" hidden="1">'ORÇAMENTO LOT INDUSTRIAL ABC'!$A$11:$U$11</definedName>
    <definedName name="_xlnm.Print_Area" localSheetId="7">'BDI '!$A$1:$D$30</definedName>
    <definedName name="_xlnm.Print_Area" localSheetId="0">'CRONOGRAMA 2025'!$A$1:$G$21</definedName>
    <definedName name="_xlnm.Print_Area" localSheetId="1">'MEMÓRIA  DE CÁLCULO QUANTITATIV'!$A$1:$K$27</definedName>
    <definedName name="_xlnm.Print_Area" localSheetId="3">'MEMÓRIA QUANTITATIVOS LOT 01'!$A$1:$K$94</definedName>
    <definedName name="_xlnm.Print_Area" localSheetId="2">'ORÇAMENTO FINAL'!$A$1:$K$105</definedName>
    <definedName name="_xlnm.Print_Area" localSheetId="8">'ORÇAMENTO LOT INDUSTRIAL ABC'!$A$1:$U$140</definedName>
    <definedName name="_xlnm.Print_Area" localSheetId="4">'ORÇAMENTO PROTÁZIO LOT 01'!$A$1:$J$189</definedName>
    <definedName name="Excel_BuiltIn__FilterDatabase" localSheetId="8">'ORÇAMENTO LOT INDUSTRIAL ABC'!$A$11:$U$11</definedName>
    <definedName name="Excel_BuiltIn_Print_Area" localSheetId="7">'BDI '!$A$1:$D$30</definedName>
    <definedName name="Excel_BuiltIn_Print_Area" localSheetId="0">'CRONOGRAMA 2025'!$A$1:$G$21</definedName>
    <definedName name="Excel_BuiltIn_Print_Area" localSheetId="1">'MEMÓRIA  DE CÁLCULO QUANTITATIV'!$A$1:$K$27</definedName>
    <definedName name="Excel_BuiltIn_Print_Area" localSheetId="3">'MEMÓRIA QUANTITATIVOS LOT 01'!$A$1:$K$94</definedName>
    <definedName name="Excel_BuiltIn_Print_Area" localSheetId="2">'ORÇAMENTO FINAL'!$A$1:$K$105</definedName>
    <definedName name="Excel_BuiltIn_Print_Area" localSheetId="8">'ORÇAMENTO LOT INDUSTRIAL ABC'!$A$1:$U$140</definedName>
    <definedName name="Excel_BuiltIn_Print_Area" localSheetId="4">'ORÇAMENTO PROTÁZIO LOT 01'!$A$1:$J$189</definedName>
    <definedName name="Nível" localSheetId="2">[1]Eventograma_e_Quantitativos!$C1</definedName>
    <definedName name="Nível" localSheetId="8">[1]Eventograma_e_Quantitativos!$C1</definedName>
    <definedName name="Nível" localSheetId="4">[1]Eventograma_e_Quantitativos!$C1</definedName>
  </definedNames>
  <calcPr calcId="152511"/>
</workbook>
</file>

<file path=xl/calcChain.xml><?xml version="1.0" encoding="utf-8"?>
<calcChain xmlns="http://schemas.openxmlformats.org/spreadsheetml/2006/main">
  <c r="G20" i="8" l="1"/>
  <c r="E17" i="1"/>
  <c r="E16" i="2"/>
  <c r="E17" i="2"/>
  <c r="E19" i="2"/>
  <c r="E20" i="2"/>
  <c r="E21" i="2"/>
  <c r="E22" i="2"/>
  <c r="E24" i="2"/>
  <c r="E17" i="4"/>
  <c r="E18" i="5" s="1"/>
  <c r="E19" i="4"/>
  <c r="E21" i="4"/>
  <c r="E22" i="4"/>
  <c r="E23" i="4" s="1"/>
  <c r="E37" i="4"/>
  <c r="E38" i="5" s="1"/>
  <c r="E38" i="4"/>
  <c r="E61" i="4"/>
  <c r="E62" i="4" s="1"/>
  <c r="E63" i="4" s="1"/>
  <c r="E64" i="4"/>
  <c r="E65" i="4"/>
  <c r="E66" i="4" s="1"/>
  <c r="E67" i="4"/>
  <c r="E68" i="4" s="1"/>
  <c r="E69" i="4" s="1"/>
  <c r="E73" i="4"/>
  <c r="E74" i="4"/>
  <c r="E75" i="4" s="1"/>
  <c r="E76" i="5" s="1"/>
  <c r="E79" i="4"/>
  <c r="E83" i="4"/>
  <c r="E84" i="4"/>
  <c r="E92" i="4"/>
  <c r="G12" i="3"/>
  <c r="H12" i="3"/>
  <c r="I12" i="3"/>
  <c r="J12" i="3"/>
  <c r="G13" i="3"/>
  <c r="I13" i="3" s="1"/>
  <c r="H13" i="3"/>
  <c r="J13" i="3"/>
  <c r="K13" i="3"/>
  <c r="G14" i="3"/>
  <c r="I14" i="3" s="1"/>
  <c r="K14" i="3" s="1"/>
  <c r="H14" i="3"/>
  <c r="J14" i="3" s="1"/>
  <c r="G16" i="3"/>
  <c r="I16" i="3" s="1"/>
  <c r="K16" i="3" s="1"/>
  <c r="H16" i="3"/>
  <c r="J16" i="3" s="1"/>
  <c r="G18" i="3"/>
  <c r="I18" i="3" s="1"/>
  <c r="H18" i="3"/>
  <c r="J18" i="3" s="1"/>
  <c r="E19" i="3"/>
  <c r="G19" i="3"/>
  <c r="H19" i="3"/>
  <c r="J19" i="3" s="1"/>
  <c r="I19" i="3"/>
  <c r="G20" i="3"/>
  <c r="H20" i="3"/>
  <c r="I20" i="3"/>
  <c r="J20" i="3"/>
  <c r="E21" i="3"/>
  <c r="G21" i="3"/>
  <c r="H21" i="3"/>
  <c r="J21" i="3" s="1"/>
  <c r="I21" i="3"/>
  <c r="G22" i="3"/>
  <c r="H22" i="3"/>
  <c r="I22" i="3"/>
  <c r="K22" i="3" s="1"/>
  <c r="J22" i="3"/>
  <c r="G23" i="3"/>
  <c r="I23" i="3" s="1"/>
  <c r="H23" i="3"/>
  <c r="J23" i="3"/>
  <c r="K23" i="3" s="1"/>
  <c r="E24" i="3"/>
  <c r="I24" i="3" s="1"/>
  <c r="G24" i="3"/>
  <c r="H24" i="3"/>
  <c r="G25" i="3"/>
  <c r="I25" i="3" s="1"/>
  <c r="H25" i="3"/>
  <c r="J25" i="3" s="1"/>
  <c r="E26" i="3"/>
  <c r="G26" i="3"/>
  <c r="H26" i="3"/>
  <c r="G28" i="3"/>
  <c r="I28" i="3" s="1"/>
  <c r="K28" i="3" s="1"/>
  <c r="H28" i="3"/>
  <c r="J28" i="3" s="1"/>
  <c r="J37" i="3"/>
  <c r="E12" i="9"/>
  <c r="M12" i="9"/>
  <c r="G12" i="9" s="1"/>
  <c r="O12" i="9"/>
  <c r="L12" i="9" s="1"/>
  <c r="F12" i="9" s="1"/>
  <c r="H12" i="9" s="1"/>
  <c r="H64" i="9" s="1"/>
  <c r="E13" i="9"/>
  <c r="H13" i="9"/>
  <c r="M13" i="9"/>
  <c r="G13" i="9" s="1"/>
  <c r="N13" i="9"/>
  <c r="O13" i="9" s="1"/>
  <c r="L13" i="9" s="1"/>
  <c r="F13" i="9" s="1"/>
  <c r="E14" i="9"/>
  <c r="L14" i="9"/>
  <c r="F14" i="9" s="1"/>
  <c r="K14" i="9" s="1"/>
  <c r="O14" i="9"/>
  <c r="M14" i="9" s="1"/>
  <c r="G14" i="9" s="1"/>
  <c r="E15" i="9"/>
  <c r="G15" i="9"/>
  <c r="M15" i="9"/>
  <c r="N15" i="9"/>
  <c r="O15" i="9"/>
  <c r="L15" i="9" s="1"/>
  <c r="F15" i="9" s="1"/>
  <c r="E16" i="9"/>
  <c r="G16" i="9"/>
  <c r="K16" i="9" s="1"/>
  <c r="H16" i="9"/>
  <c r="M16" i="9"/>
  <c r="O16" i="9"/>
  <c r="L16" i="9" s="1"/>
  <c r="F16" i="9" s="1"/>
  <c r="E17" i="9"/>
  <c r="N17" i="9"/>
  <c r="O17" i="9" s="1"/>
  <c r="E18" i="9"/>
  <c r="O18" i="9"/>
  <c r="E19" i="9"/>
  <c r="L19" i="9"/>
  <c r="F19" i="9" s="1"/>
  <c r="M19" i="9"/>
  <c r="G19" i="9" s="1"/>
  <c r="K19" i="9" s="1"/>
  <c r="O19" i="9"/>
  <c r="E20" i="9"/>
  <c r="F20" i="9"/>
  <c r="L20" i="9"/>
  <c r="O20" i="9"/>
  <c r="M20" i="9" s="1"/>
  <c r="G20" i="9" s="1"/>
  <c r="I20" i="9" s="1"/>
  <c r="E21" i="9"/>
  <c r="N21" i="9"/>
  <c r="O21" i="9"/>
  <c r="E22" i="9"/>
  <c r="L22" i="9"/>
  <c r="F22" i="9" s="1"/>
  <c r="K22" i="9" s="1"/>
  <c r="M22" i="9"/>
  <c r="G22" i="9" s="1"/>
  <c r="N22" i="9"/>
  <c r="O22" i="9"/>
  <c r="E23" i="9"/>
  <c r="I23" i="9" s="1"/>
  <c r="G23" i="9"/>
  <c r="L23" i="9"/>
  <c r="F23" i="9" s="1"/>
  <c r="M23" i="9"/>
  <c r="O23" i="9"/>
  <c r="E24" i="9"/>
  <c r="O24" i="9"/>
  <c r="E25" i="9"/>
  <c r="K25" i="9"/>
  <c r="M25" i="9"/>
  <c r="G25" i="9" s="1"/>
  <c r="O25" i="9"/>
  <c r="L25" i="9" s="1"/>
  <c r="F25" i="9" s="1"/>
  <c r="E26" i="9"/>
  <c r="F26" i="9"/>
  <c r="K26" i="9" s="1"/>
  <c r="G26" i="9"/>
  <c r="H26" i="9"/>
  <c r="M26" i="9"/>
  <c r="O26" i="9"/>
  <c r="L26" i="9" s="1"/>
  <c r="E27" i="9"/>
  <c r="N27" i="9"/>
  <c r="O27" i="9" s="1"/>
  <c r="E28" i="9"/>
  <c r="L28" i="9"/>
  <c r="F28" i="9" s="1"/>
  <c r="M28" i="9"/>
  <c r="G28" i="9" s="1"/>
  <c r="K28" i="9" s="1"/>
  <c r="O28" i="9"/>
  <c r="E29" i="9"/>
  <c r="N29" i="9"/>
  <c r="O29" i="9" s="1"/>
  <c r="E30" i="9"/>
  <c r="O30" i="9"/>
  <c r="E31" i="9"/>
  <c r="F31" i="9"/>
  <c r="K31" i="9"/>
  <c r="L31" i="9"/>
  <c r="M31" i="9"/>
  <c r="G31" i="9" s="1"/>
  <c r="N31" i="9"/>
  <c r="O31" i="9"/>
  <c r="E32" i="9"/>
  <c r="L32" i="9"/>
  <c r="F32" i="9" s="1"/>
  <c r="K32" i="9" s="1"/>
  <c r="M32" i="9"/>
  <c r="G32" i="9" s="1"/>
  <c r="O32" i="9"/>
  <c r="E33" i="9"/>
  <c r="O33" i="9"/>
  <c r="E34" i="9"/>
  <c r="O34" i="9"/>
  <c r="E35" i="9"/>
  <c r="O35" i="9"/>
  <c r="E36" i="9"/>
  <c r="L36" i="9"/>
  <c r="F36" i="9" s="1"/>
  <c r="M36" i="9"/>
  <c r="G36" i="9" s="1"/>
  <c r="O36" i="9"/>
  <c r="E37" i="9"/>
  <c r="F37" i="9"/>
  <c r="K37" i="9" s="1"/>
  <c r="L37" i="9"/>
  <c r="O37" i="9"/>
  <c r="M37" i="9" s="1"/>
  <c r="G37" i="9" s="1"/>
  <c r="E38" i="9"/>
  <c r="I38" i="9"/>
  <c r="K38" i="9"/>
  <c r="M38" i="9"/>
  <c r="G38" i="9" s="1"/>
  <c r="O38" i="9"/>
  <c r="L38" i="9" s="1"/>
  <c r="F38" i="9" s="1"/>
  <c r="E39" i="9"/>
  <c r="L39" i="9"/>
  <c r="F39" i="9" s="1"/>
  <c r="O39" i="9"/>
  <c r="M39" i="9" s="1"/>
  <c r="G39" i="9" s="1"/>
  <c r="I39" i="9" s="1"/>
  <c r="E40" i="9"/>
  <c r="G40" i="9"/>
  <c r="H40" i="9"/>
  <c r="I40" i="9"/>
  <c r="J40" i="9" s="1"/>
  <c r="K40" i="9"/>
  <c r="M40" i="9"/>
  <c r="O40" i="9"/>
  <c r="L40" i="9" s="1"/>
  <c r="F40" i="9" s="1"/>
  <c r="E41" i="9"/>
  <c r="L41" i="9"/>
  <c r="F41" i="9" s="1"/>
  <c r="M41" i="9"/>
  <c r="G41" i="9" s="1"/>
  <c r="I41" i="9" s="1"/>
  <c r="O41" i="9"/>
  <c r="E42" i="9"/>
  <c r="I42" i="9" s="1"/>
  <c r="F42" i="9"/>
  <c r="K42" i="9" s="1"/>
  <c r="G42" i="9"/>
  <c r="L42" i="9"/>
  <c r="M42" i="9"/>
  <c r="O42" i="9"/>
  <c r="E43" i="9"/>
  <c r="K43" i="9"/>
  <c r="L43" i="9"/>
  <c r="F43" i="9" s="1"/>
  <c r="O43" i="9"/>
  <c r="M43" i="9" s="1"/>
  <c r="G43" i="9" s="1"/>
  <c r="E44" i="9"/>
  <c r="G44" i="9"/>
  <c r="M44" i="9"/>
  <c r="O44" i="9"/>
  <c r="L44" i="9" s="1"/>
  <c r="F44" i="9" s="1"/>
  <c r="K44" i="9" s="1"/>
  <c r="E45" i="9"/>
  <c r="H45" i="9"/>
  <c r="I45" i="9"/>
  <c r="J45" i="9"/>
  <c r="L45" i="9"/>
  <c r="F45" i="9" s="1"/>
  <c r="K45" i="9" s="1"/>
  <c r="O45" i="9"/>
  <c r="M45" i="9" s="1"/>
  <c r="G45" i="9" s="1"/>
  <c r="E46" i="9"/>
  <c r="I46" i="9" s="1"/>
  <c r="G46" i="9"/>
  <c r="H46" i="9"/>
  <c r="M46" i="9"/>
  <c r="O46" i="9"/>
  <c r="L46" i="9" s="1"/>
  <c r="F46" i="9" s="1"/>
  <c r="E47" i="9"/>
  <c r="G47" i="9"/>
  <c r="I47" i="9" s="1"/>
  <c r="L47" i="9"/>
  <c r="F47" i="9" s="1"/>
  <c r="M47" i="9"/>
  <c r="N47" i="9"/>
  <c r="O47" i="9" s="1"/>
  <c r="E48" i="9"/>
  <c r="O48" i="9"/>
  <c r="E49" i="9"/>
  <c r="G49" i="9"/>
  <c r="M49" i="9"/>
  <c r="O49" i="9"/>
  <c r="L49" i="9" s="1"/>
  <c r="F49" i="9" s="1"/>
  <c r="E50" i="9"/>
  <c r="L50" i="9"/>
  <c r="F50" i="9" s="1"/>
  <c r="O50" i="9"/>
  <c r="M50" i="9" s="1"/>
  <c r="G50" i="9" s="1"/>
  <c r="I50" i="9" s="1"/>
  <c r="E51" i="9"/>
  <c r="O51" i="9"/>
  <c r="E52" i="9"/>
  <c r="H52" i="9" s="1"/>
  <c r="M52" i="9"/>
  <c r="G52" i="9" s="1"/>
  <c r="O52" i="9"/>
  <c r="L52" i="9" s="1"/>
  <c r="F52" i="9" s="1"/>
  <c r="E53" i="9"/>
  <c r="L53" i="9"/>
  <c r="F53" i="9" s="1"/>
  <c r="M53" i="9"/>
  <c r="G53" i="9" s="1"/>
  <c r="O53" i="9"/>
  <c r="E54" i="9"/>
  <c r="G54" i="9"/>
  <c r="L54" i="9"/>
  <c r="F54" i="9" s="1"/>
  <c r="K54" i="9" s="1"/>
  <c r="M54" i="9"/>
  <c r="N54" i="9"/>
  <c r="O54" i="9" s="1"/>
  <c r="E55" i="9"/>
  <c r="I55" i="9" s="1"/>
  <c r="L55" i="9"/>
  <c r="F55" i="9" s="1"/>
  <c r="K55" i="9" s="1"/>
  <c r="N55" i="9"/>
  <c r="O55" i="9"/>
  <c r="M55" i="9" s="1"/>
  <c r="G55" i="9" s="1"/>
  <c r="K56" i="9"/>
  <c r="K59" i="9"/>
  <c r="L59" i="9"/>
  <c r="M59" i="9"/>
  <c r="O60" i="9"/>
  <c r="K61" i="9"/>
  <c r="O61" i="9"/>
  <c r="K62" i="9"/>
  <c r="L62" i="9"/>
  <c r="M62" i="9"/>
  <c r="O62" i="9"/>
  <c r="I72" i="9"/>
  <c r="E11" i="5"/>
  <c r="O11" i="5"/>
  <c r="E12" i="5"/>
  <c r="K12" i="5"/>
  <c r="L12" i="5"/>
  <c r="F12" i="5" s="1"/>
  <c r="M12" i="5"/>
  <c r="G12" i="5" s="1"/>
  <c r="O12" i="5"/>
  <c r="E13" i="5"/>
  <c r="O13" i="5"/>
  <c r="E14" i="5"/>
  <c r="O14" i="5"/>
  <c r="E15" i="5"/>
  <c r="K15" i="5"/>
  <c r="E16" i="5"/>
  <c r="O16" i="5"/>
  <c r="E17" i="5"/>
  <c r="L17" i="5"/>
  <c r="F17" i="5" s="1"/>
  <c r="M17" i="5"/>
  <c r="G17" i="5" s="1"/>
  <c r="O17" i="5"/>
  <c r="G18" i="5"/>
  <c r="I18" i="5" s="1"/>
  <c r="J18" i="5" s="1"/>
  <c r="H18" i="5"/>
  <c r="L18" i="5"/>
  <c r="F18" i="5" s="1"/>
  <c r="M18" i="5"/>
  <c r="O18" i="5"/>
  <c r="E19" i="5"/>
  <c r="K19" i="5"/>
  <c r="O19" i="5"/>
  <c r="L20" i="5"/>
  <c r="F20" i="5" s="1"/>
  <c r="K20" i="5" s="1"/>
  <c r="O20" i="5"/>
  <c r="M20" i="5" s="1"/>
  <c r="G20" i="5" s="1"/>
  <c r="O21" i="5"/>
  <c r="E22" i="5"/>
  <c r="M22" i="5"/>
  <c r="G22" i="5" s="1"/>
  <c r="I22" i="5" s="1"/>
  <c r="O22" i="5"/>
  <c r="L22" i="5" s="1"/>
  <c r="F22" i="5" s="1"/>
  <c r="E23" i="5"/>
  <c r="N23" i="5"/>
  <c r="O23" i="5"/>
  <c r="M23" i="5" s="1"/>
  <c r="G23" i="5" s="1"/>
  <c r="E24" i="5"/>
  <c r="G24" i="5"/>
  <c r="N24" i="5"/>
  <c r="O24" i="5"/>
  <c r="M24" i="5" s="1"/>
  <c r="E25" i="5"/>
  <c r="M25" i="5"/>
  <c r="G25" i="5" s="1"/>
  <c r="N25" i="5"/>
  <c r="O25" i="5" s="1"/>
  <c r="L25" i="5" s="1"/>
  <c r="F25" i="5" s="1"/>
  <c r="E26" i="5"/>
  <c r="F26" i="5"/>
  <c r="K26" i="5" s="1"/>
  <c r="L26" i="5"/>
  <c r="O26" i="5"/>
  <c r="M26" i="5" s="1"/>
  <c r="G26" i="5" s="1"/>
  <c r="E27" i="5"/>
  <c r="E28" i="5"/>
  <c r="F28" i="5"/>
  <c r="K28" i="5" s="1"/>
  <c r="M28" i="5"/>
  <c r="G28" i="5" s="1"/>
  <c r="I28" i="5" s="1"/>
  <c r="O28" i="5"/>
  <c r="L28" i="5" s="1"/>
  <c r="E29" i="5"/>
  <c r="N29" i="5"/>
  <c r="O29" i="5" s="1"/>
  <c r="E30" i="5"/>
  <c r="F30" i="5"/>
  <c r="K30" i="5"/>
  <c r="L30" i="5"/>
  <c r="M30" i="5"/>
  <c r="G30" i="5" s="1"/>
  <c r="O30" i="5"/>
  <c r="E31" i="5"/>
  <c r="N31" i="5"/>
  <c r="O31" i="5" s="1"/>
  <c r="E32" i="5"/>
  <c r="M32" i="5"/>
  <c r="G32" i="5" s="1"/>
  <c r="I32" i="5" s="1"/>
  <c r="N32" i="5"/>
  <c r="O32" i="5"/>
  <c r="L32" i="5" s="1"/>
  <c r="F32" i="5" s="1"/>
  <c r="E33" i="5"/>
  <c r="H33" i="5"/>
  <c r="M33" i="5"/>
  <c r="G33" i="5" s="1"/>
  <c r="I33" i="5" s="1"/>
  <c r="J33" i="5" s="1"/>
  <c r="O33" i="5"/>
  <c r="L33" i="5" s="1"/>
  <c r="F33" i="5" s="1"/>
  <c r="E34" i="5"/>
  <c r="N34" i="5"/>
  <c r="O34" i="5"/>
  <c r="E35" i="5"/>
  <c r="G35" i="5"/>
  <c r="L35" i="5"/>
  <c r="F35" i="5" s="1"/>
  <c r="M35" i="5"/>
  <c r="N35" i="5"/>
  <c r="O35" i="5" s="1"/>
  <c r="E36" i="5"/>
  <c r="I36" i="5" s="1"/>
  <c r="K36" i="5"/>
  <c r="M36" i="5"/>
  <c r="G36" i="5" s="1"/>
  <c r="O36" i="5"/>
  <c r="L36" i="5" s="1"/>
  <c r="F36" i="5" s="1"/>
  <c r="E37" i="5"/>
  <c r="K37" i="5"/>
  <c r="L37" i="5"/>
  <c r="M37" i="5"/>
  <c r="F38" i="5"/>
  <c r="K38" i="5"/>
  <c r="L38" i="5"/>
  <c r="M38" i="5"/>
  <c r="G38" i="5" s="1"/>
  <c r="O38" i="5"/>
  <c r="O39" i="5"/>
  <c r="N40" i="5"/>
  <c r="O40" i="5"/>
  <c r="N41" i="5"/>
  <c r="O41" i="5" s="1"/>
  <c r="F42" i="5"/>
  <c r="K42" i="5"/>
  <c r="L42" i="5"/>
  <c r="M42" i="5"/>
  <c r="G42" i="5" s="1"/>
  <c r="O42" i="5"/>
  <c r="N43" i="5"/>
  <c r="O43" i="5" s="1"/>
  <c r="E44" i="5"/>
  <c r="L44" i="5"/>
  <c r="F44" i="5" s="1"/>
  <c r="M44" i="5"/>
  <c r="G44" i="5" s="1"/>
  <c r="I44" i="5" s="1"/>
  <c r="O44" i="5"/>
  <c r="E45" i="5"/>
  <c r="O45" i="5"/>
  <c r="E46" i="5"/>
  <c r="F46" i="5"/>
  <c r="K46" i="5"/>
  <c r="L46" i="5"/>
  <c r="M46" i="5"/>
  <c r="G46" i="5" s="1"/>
  <c r="O46" i="5"/>
  <c r="E47" i="5"/>
  <c r="O47" i="5"/>
  <c r="E48" i="5"/>
  <c r="O48" i="5"/>
  <c r="E49" i="5"/>
  <c r="L49" i="5"/>
  <c r="F49" i="5" s="1"/>
  <c r="M49" i="5"/>
  <c r="G49" i="5" s="1"/>
  <c r="O49" i="5"/>
  <c r="E50" i="5"/>
  <c r="H50" i="5"/>
  <c r="I50" i="5"/>
  <c r="M50" i="5"/>
  <c r="G50" i="5" s="1"/>
  <c r="O50" i="5"/>
  <c r="L50" i="5" s="1"/>
  <c r="F50" i="5" s="1"/>
  <c r="K50" i="5" s="1"/>
  <c r="E51" i="5"/>
  <c r="O51" i="5"/>
  <c r="E52" i="5"/>
  <c r="F52" i="5"/>
  <c r="K52" i="5" s="1"/>
  <c r="G52" i="5"/>
  <c r="L52" i="5"/>
  <c r="M52" i="5"/>
  <c r="O52" i="5"/>
  <c r="E53" i="5"/>
  <c r="L53" i="5"/>
  <c r="F53" i="5" s="1"/>
  <c r="M53" i="5"/>
  <c r="G53" i="5" s="1"/>
  <c r="I53" i="5" s="1"/>
  <c r="O53" i="5"/>
  <c r="E54" i="5"/>
  <c r="O54" i="5"/>
  <c r="E55" i="5"/>
  <c r="N55" i="5"/>
  <c r="O55" i="5" s="1"/>
  <c r="L55" i="5" s="1"/>
  <c r="F55" i="5" s="1"/>
  <c r="E56" i="5"/>
  <c r="N56" i="5"/>
  <c r="O56" i="5" s="1"/>
  <c r="E57" i="5"/>
  <c r="N57" i="5"/>
  <c r="O57" i="5" s="1"/>
  <c r="M57" i="5" s="1"/>
  <c r="G57" i="5" s="1"/>
  <c r="I57" i="5" s="1"/>
  <c r="E58" i="5"/>
  <c r="O58" i="5"/>
  <c r="E59" i="5"/>
  <c r="G59" i="5"/>
  <c r="L59" i="5"/>
  <c r="F59" i="5" s="1"/>
  <c r="K59" i="5" s="1"/>
  <c r="M59" i="5"/>
  <c r="O59" i="5"/>
  <c r="E60" i="5"/>
  <c r="O60" i="5"/>
  <c r="E61" i="5"/>
  <c r="E62" i="5"/>
  <c r="F62" i="5"/>
  <c r="M62" i="5"/>
  <c r="G62" i="5" s="1"/>
  <c r="I62" i="5" s="1"/>
  <c r="O62" i="5"/>
  <c r="L62" i="5" s="1"/>
  <c r="E63" i="5"/>
  <c r="N63" i="5"/>
  <c r="O63" i="5" s="1"/>
  <c r="E64" i="5"/>
  <c r="F64" i="5"/>
  <c r="K64" i="5"/>
  <c r="L64" i="5"/>
  <c r="M64" i="5"/>
  <c r="G64" i="5" s="1"/>
  <c r="N64" i="5"/>
  <c r="O64" i="5"/>
  <c r="E65" i="5"/>
  <c r="F65" i="5"/>
  <c r="K65" i="5" s="1"/>
  <c r="L65" i="5"/>
  <c r="M65" i="5"/>
  <c r="G65" i="5" s="1"/>
  <c r="O65" i="5"/>
  <c r="E66" i="5"/>
  <c r="L66" i="5"/>
  <c r="F66" i="5" s="1"/>
  <c r="N66" i="5"/>
  <c r="O66" i="5"/>
  <c r="M66" i="5" s="1"/>
  <c r="G66" i="5" s="1"/>
  <c r="I66" i="5" s="1"/>
  <c r="E67" i="5"/>
  <c r="H67" i="5"/>
  <c r="M67" i="5"/>
  <c r="G67" i="5" s="1"/>
  <c r="I67" i="5" s="1"/>
  <c r="J67" i="5" s="1"/>
  <c r="N67" i="5"/>
  <c r="O67" i="5"/>
  <c r="L67" i="5" s="1"/>
  <c r="F67" i="5" s="1"/>
  <c r="E68" i="5"/>
  <c r="I68" i="5" s="1"/>
  <c r="J68" i="5" s="1"/>
  <c r="H68" i="5"/>
  <c r="K68" i="5"/>
  <c r="L68" i="5"/>
  <c r="F68" i="5" s="1"/>
  <c r="O68" i="5"/>
  <c r="M68" i="5" s="1"/>
  <c r="G68" i="5" s="1"/>
  <c r="E69" i="5"/>
  <c r="I69" i="5" s="1"/>
  <c r="F69" i="5"/>
  <c r="K69" i="5" s="1"/>
  <c r="L69" i="5"/>
  <c r="M69" i="5"/>
  <c r="G69" i="5" s="1"/>
  <c r="N69" i="5"/>
  <c r="O69" i="5" s="1"/>
  <c r="E70" i="5"/>
  <c r="I70" i="5" s="1"/>
  <c r="M70" i="5"/>
  <c r="G70" i="5" s="1"/>
  <c r="N70" i="5"/>
  <c r="O70" i="5"/>
  <c r="L70" i="5" s="1"/>
  <c r="F70" i="5" s="1"/>
  <c r="E71" i="5"/>
  <c r="G71" i="5"/>
  <c r="I71" i="5" s="1"/>
  <c r="L71" i="5"/>
  <c r="F71" i="5" s="1"/>
  <c r="K71" i="5" s="1"/>
  <c r="O71" i="5"/>
  <c r="M71" i="5" s="1"/>
  <c r="E72" i="5"/>
  <c r="I72" i="5" s="1"/>
  <c r="L72" i="5"/>
  <c r="F72" i="5" s="1"/>
  <c r="K72" i="5" s="1"/>
  <c r="O72" i="5"/>
  <c r="M72" i="5" s="1"/>
  <c r="G72" i="5" s="1"/>
  <c r="E73" i="5"/>
  <c r="O73" i="5"/>
  <c r="M73" i="5" s="1"/>
  <c r="G73" i="5" s="1"/>
  <c r="E74" i="5"/>
  <c r="H74" i="5"/>
  <c r="M74" i="5"/>
  <c r="G74" i="5" s="1"/>
  <c r="O74" i="5"/>
  <c r="L74" i="5" s="1"/>
  <c r="F74" i="5" s="1"/>
  <c r="K74" i="5" s="1"/>
  <c r="E75" i="5"/>
  <c r="N75" i="5"/>
  <c r="O75" i="5"/>
  <c r="M75" i="5" s="1"/>
  <c r="G75" i="5" s="1"/>
  <c r="I75" i="5" s="1"/>
  <c r="G76" i="5"/>
  <c r="K76" i="5" s="1"/>
  <c r="M76" i="5"/>
  <c r="O76" i="5"/>
  <c r="L76" i="5" s="1"/>
  <c r="F76" i="5" s="1"/>
  <c r="K77" i="5"/>
  <c r="L77" i="5"/>
  <c r="M77" i="5"/>
  <c r="O77" i="5"/>
  <c r="E78" i="5"/>
  <c r="I78" i="5" s="1"/>
  <c r="O78" i="5"/>
  <c r="M78" i="5" s="1"/>
  <c r="G78" i="5" s="1"/>
  <c r="E79" i="5"/>
  <c r="G79" i="5"/>
  <c r="K79" i="5" s="1"/>
  <c r="H79" i="5"/>
  <c r="M79" i="5"/>
  <c r="O79" i="5"/>
  <c r="L79" i="5" s="1"/>
  <c r="F79" i="5" s="1"/>
  <c r="E80" i="5"/>
  <c r="F80" i="5"/>
  <c r="L80" i="5"/>
  <c r="M80" i="5"/>
  <c r="G80" i="5" s="1"/>
  <c r="I80" i="5" s="1"/>
  <c r="O80" i="5"/>
  <c r="E81" i="5"/>
  <c r="F81" i="5"/>
  <c r="H81" i="5"/>
  <c r="I81" i="5"/>
  <c r="K81" i="5"/>
  <c r="L81" i="5"/>
  <c r="O81" i="5"/>
  <c r="M81" i="5" s="1"/>
  <c r="G81" i="5" s="1"/>
  <c r="E82" i="5"/>
  <c r="I82" i="5" s="1"/>
  <c r="J82" i="5" s="1"/>
  <c r="H82" i="5"/>
  <c r="K82" i="5"/>
  <c r="L82" i="5"/>
  <c r="O82" i="5"/>
  <c r="M82" i="5" s="1"/>
  <c r="G82" i="5" s="1"/>
  <c r="K83" i="5"/>
  <c r="M83" i="5"/>
  <c r="O83" i="5"/>
  <c r="L83" i="5" s="1"/>
  <c r="E84" i="5"/>
  <c r="H84" i="5" s="1"/>
  <c r="F84" i="5"/>
  <c r="L84" i="5"/>
  <c r="M84" i="5"/>
  <c r="G84" i="5" s="1"/>
  <c r="I84" i="5" s="1"/>
  <c r="J84" i="5" s="1"/>
  <c r="O84" i="5"/>
  <c r="E85" i="5"/>
  <c r="F85" i="5"/>
  <c r="H85" i="5"/>
  <c r="I85" i="5"/>
  <c r="K85" i="5"/>
  <c r="L85" i="5"/>
  <c r="O85" i="5"/>
  <c r="M85" i="5" s="1"/>
  <c r="G85" i="5" s="1"/>
  <c r="E86" i="5"/>
  <c r="N86" i="5"/>
  <c r="O86" i="5" s="1"/>
  <c r="L86" i="5" s="1"/>
  <c r="F86" i="5" s="1"/>
  <c r="E87" i="5"/>
  <c r="N87" i="5"/>
  <c r="O87" i="5" s="1"/>
  <c r="E88" i="5"/>
  <c r="N88" i="5"/>
  <c r="O88" i="5"/>
  <c r="L88" i="5" s="1"/>
  <c r="F88" i="5" s="1"/>
  <c r="E89" i="5"/>
  <c r="H89" i="5" s="1"/>
  <c r="O89" i="5"/>
  <c r="L89" i="5" s="1"/>
  <c r="F89" i="5" s="1"/>
  <c r="E90" i="5"/>
  <c r="N90" i="5"/>
  <c r="O90" i="5"/>
  <c r="L90" i="5" s="1"/>
  <c r="F90" i="5" s="1"/>
  <c r="E91" i="5"/>
  <c r="H91" i="5"/>
  <c r="M91" i="5"/>
  <c r="G91" i="5" s="1"/>
  <c r="O91" i="5"/>
  <c r="L91" i="5" s="1"/>
  <c r="F91" i="5" s="1"/>
  <c r="K91" i="5" s="1"/>
  <c r="E93" i="5"/>
  <c r="F93" i="5"/>
  <c r="K93" i="5" s="1"/>
  <c r="G93" i="5"/>
  <c r="I93" i="5" s="1"/>
  <c r="L93" i="5"/>
  <c r="M93" i="5"/>
  <c r="O93" i="5"/>
  <c r="E94" i="5"/>
  <c r="N94" i="5"/>
  <c r="O94" i="5" s="1"/>
  <c r="I106" i="5"/>
  <c r="G9" i="7"/>
  <c r="G23" i="7" s="1"/>
  <c r="F34" i="7" s="1"/>
  <c r="G34" i="7" s="1"/>
  <c r="G45" i="7" s="1"/>
  <c r="G10" i="7"/>
  <c r="G11" i="7"/>
  <c r="G12" i="7"/>
  <c r="G13" i="7"/>
  <c r="G14" i="7"/>
  <c r="G15" i="7"/>
  <c r="F16" i="7"/>
  <c r="G16" i="7" s="1"/>
  <c r="G17" i="7"/>
  <c r="G18" i="7"/>
  <c r="G19" i="7"/>
  <c r="G20" i="7"/>
  <c r="G21" i="7"/>
  <c r="G22" i="7"/>
  <c r="G35" i="7"/>
  <c r="G36" i="7"/>
  <c r="G37" i="7"/>
  <c r="G38" i="7"/>
  <c r="G39" i="7"/>
  <c r="G40" i="7"/>
  <c r="G41" i="7"/>
  <c r="G42" i="7"/>
  <c r="G43" i="7"/>
  <c r="G44" i="7"/>
  <c r="G52" i="7"/>
  <c r="G53" i="7"/>
  <c r="G56" i="7" s="1"/>
  <c r="G54" i="7"/>
  <c r="G55" i="7"/>
  <c r="G62" i="7"/>
  <c r="G69" i="7" s="1"/>
  <c r="G63" i="7"/>
  <c r="G64" i="7"/>
  <c r="G65" i="7"/>
  <c r="G66" i="7"/>
  <c r="G67" i="7"/>
  <c r="G68" i="7"/>
  <c r="G74" i="7"/>
  <c r="G82" i="7" s="1"/>
  <c r="G75" i="7"/>
  <c r="F76" i="7"/>
  <c r="G76" i="7"/>
  <c r="G77" i="7"/>
  <c r="G78" i="7"/>
  <c r="G79" i="7"/>
  <c r="G80" i="7"/>
  <c r="G81" i="7"/>
  <c r="G87" i="7"/>
  <c r="G88" i="7"/>
  <c r="G89" i="7"/>
  <c r="G90" i="7"/>
  <c r="G91" i="7"/>
  <c r="G92" i="7"/>
  <c r="G93" i="7"/>
  <c r="G94" i="7"/>
  <c r="G95" i="7"/>
  <c r="G96" i="7"/>
  <c r="G97" i="7"/>
  <c r="G98" i="7"/>
  <c r="G99" i="7"/>
  <c r="G100" i="7"/>
  <c r="G101" i="7"/>
  <c r="G106" i="7"/>
  <c r="G107" i="7"/>
  <c r="G108" i="7"/>
  <c r="G109" i="7"/>
  <c r="G110" i="7"/>
  <c r="G111" i="7"/>
  <c r="G122" i="7" s="1"/>
  <c r="G112" i="7"/>
  <c r="G113" i="7"/>
  <c r="G114" i="7"/>
  <c r="G115" i="7"/>
  <c r="G116" i="7"/>
  <c r="G117" i="7"/>
  <c r="G118" i="7"/>
  <c r="G119" i="7"/>
  <c r="G120" i="7"/>
  <c r="G128" i="7"/>
  <c r="G129" i="7"/>
  <c r="G144" i="7" s="1"/>
  <c r="G130" i="7"/>
  <c r="G131" i="7"/>
  <c r="G132" i="7"/>
  <c r="G133" i="7"/>
  <c r="G134" i="7"/>
  <c r="G135" i="7"/>
  <c r="G136" i="7"/>
  <c r="G137" i="7"/>
  <c r="G138" i="7"/>
  <c r="G139" i="7"/>
  <c r="G140" i="7"/>
  <c r="G141" i="7"/>
  <c r="G142" i="7"/>
  <c r="G149" i="7"/>
  <c r="G150" i="7"/>
  <c r="F151" i="7"/>
  <c r="G151" i="7"/>
  <c r="G157" i="7" s="1"/>
  <c r="G152" i="7"/>
  <c r="G153" i="7"/>
  <c r="G154" i="7"/>
  <c r="G155" i="7"/>
  <c r="G156" i="7"/>
  <c r="G161" i="7"/>
  <c r="G162" i="7"/>
  <c r="G164" i="7"/>
  <c r="G165" i="7"/>
  <c r="G166" i="7"/>
  <c r="G167" i="7"/>
  <c r="G168" i="7"/>
  <c r="G169" i="7"/>
  <c r="G170" i="7"/>
  <c r="G171" i="7"/>
  <c r="G177" i="7"/>
  <c r="G178" i="7"/>
  <c r="G192" i="7" s="1"/>
  <c r="F163" i="7" s="1"/>
  <c r="G163" i="7" s="1"/>
  <c r="G173" i="7" s="1"/>
  <c r="G179" i="7"/>
  <c r="G180" i="7"/>
  <c r="G181" i="7"/>
  <c r="G182" i="7"/>
  <c r="G183" i="7"/>
  <c r="F184" i="7"/>
  <c r="G184" i="7"/>
  <c r="G185" i="7"/>
  <c r="G186" i="7"/>
  <c r="G187" i="7"/>
  <c r="G188" i="7"/>
  <c r="G189" i="7"/>
  <c r="G190" i="7"/>
  <c r="M27" i="9" l="1"/>
  <c r="G27" i="9" s="1"/>
  <c r="L27" i="9"/>
  <c r="F27" i="9" s="1"/>
  <c r="M88" i="5"/>
  <c r="G88" i="5" s="1"/>
  <c r="I88" i="5" s="1"/>
  <c r="I49" i="9"/>
  <c r="I26" i="9"/>
  <c r="H86" i="5"/>
  <c r="M55" i="5"/>
  <c r="G55" i="5" s="1"/>
  <c r="K55" i="5" s="1"/>
  <c r="I13" i="9"/>
  <c r="I52" i="9"/>
  <c r="J52" i="9" s="1"/>
  <c r="H88" i="5"/>
  <c r="I53" i="9"/>
  <c r="J53" i="9" s="1"/>
  <c r="M63" i="5"/>
  <c r="G63" i="5" s="1"/>
  <c r="I63" i="5" s="1"/>
  <c r="L63" i="5"/>
  <c r="F63" i="5" s="1"/>
  <c r="J44" i="5"/>
  <c r="M87" i="5"/>
  <c r="G87" i="5" s="1"/>
  <c r="I87" i="5" s="1"/>
  <c r="L87" i="5"/>
  <c r="F87" i="5" s="1"/>
  <c r="K70" i="5"/>
  <c r="H70" i="5"/>
  <c r="J70" i="5" s="1"/>
  <c r="L94" i="5"/>
  <c r="F94" i="5" s="1"/>
  <c r="M94" i="5"/>
  <c r="G94" i="5" s="1"/>
  <c r="I94" i="5" s="1"/>
  <c r="J72" i="5"/>
  <c r="K32" i="5"/>
  <c r="H32" i="5"/>
  <c r="H94" i="5"/>
  <c r="J75" i="5"/>
  <c r="J62" i="5"/>
  <c r="K90" i="5"/>
  <c r="H90" i="5"/>
  <c r="K66" i="5"/>
  <c r="H66" i="5"/>
  <c r="J66" i="5" s="1"/>
  <c r="J32" i="5"/>
  <c r="I76" i="5"/>
  <c r="J76" i="5" s="1"/>
  <c r="H76" i="5"/>
  <c r="H38" i="5"/>
  <c r="I38" i="5"/>
  <c r="J38" i="5" s="1"/>
  <c r="I17" i="5"/>
  <c r="H17" i="5"/>
  <c r="I73" i="5"/>
  <c r="I91" i="5"/>
  <c r="J91" i="5" s="1"/>
  <c r="K88" i="5"/>
  <c r="K84" i="5"/>
  <c r="K80" i="5"/>
  <c r="H80" i="5"/>
  <c r="J80" i="5" s="1"/>
  <c r="L75" i="5"/>
  <c r="F75" i="5" s="1"/>
  <c r="K75" i="5" s="1"/>
  <c r="I74" i="5"/>
  <c r="J74" i="5" s="1"/>
  <c r="H72" i="5"/>
  <c r="H65" i="5"/>
  <c r="M60" i="5"/>
  <c r="G60" i="5" s="1"/>
  <c r="L60" i="5"/>
  <c r="F60" i="5" s="1"/>
  <c r="I55" i="5"/>
  <c r="H55" i="5"/>
  <c r="J50" i="5"/>
  <c r="K35" i="5"/>
  <c r="H14" i="5"/>
  <c r="M61" i="9"/>
  <c r="L61" i="9"/>
  <c r="K36" i="9"/>
  <c r="I36" i="9"/>
  <c r="H32" i="9"/>
  <c r="I32" i="9"/>
  <c r="I12" i="9"/>
  <c r="K12" i="9"/>
  <c r="K53" i="5"/>
  <c r="H53" i="5"/>
  <c r="J53" i="5" s="1"/>
  <c r="I49" i="5"/>
  <c r="J49" i="5" s="1"/>
  <c r="H49" i="5"/>
  <c r="M41" i="5"/>
  <c r="G41" i="5" s="1"/>
  <c r="L41" i="5"/>
  <c r="F41" i="5" s="1"/>
  <c r="K41" i="5" s="1"/>
  <c r="H30" i="5"/>
  <c r="I30" i="5"/>
  <c r="J28" i="5"/>
  <c r="L51" i="9"/>
  <c r="F51" i="9" s="1"/>
  <c r="M51" i="9"/>
  <c r="G51" i="9" s="1"/>
  <c r="K41" i="9"/>
  <c r="H41" i="9"/>
  <c r="J41" i="9" s="1"/>
  <c r="M17" i="9"/>
  <c r="G17" i="9" s="1"/>
  <c r="I17" i="9" s="1"/>
  <c r="L17" i="9"/>
  <c r="F17" i="9" s="1"/>
  <c r="H15" i="9"/>
  <c r="I15" i="9"/>
  <c r="J15" i="9" s="1"/>
  <c r="E20" i="4"/>
  <c r="E21" i="5" s="1"/>
  <c r="E20" i="5"/>
  <c r="J85" i="5"/>
  <c r="J81" i="5"/>
  <c r="I79" i="5"/>
  <c r="J79" i="5" s="1"/>
  <c r="L73" i="5"/>
  <c r="F73" i="5" s="1"/>
  <c r="K73" i="5" s="1"/>
  <c r="H69" i="5"/>
  <c r="J69" i="5" s="1"/>
  <c r="K67" i="5"/>
  <c r="I65" i="5"/>
  <c r="M48" i="5"/>
  <c r="G48" i="5" s="1"/>
  <c r="I48" i="5" s="1"/>
  <c r="L48" i="5"/>
  <c r="F48" i="5" s="1"/>
  <c r="K48" i="5" s="1"/>
  <c r="I45" i="5"/>
  <c r="M43" i="5"/>
  <c r="G43" i="5" s="1"/>
  <c r="L43" i="5"/>
  <c r="F43" i="5" s="1"/>
  <c r="M39" i="5"/>
  <c r="G39" i="5" s="1"/>
  <c r="L39" i="5"/>
  <c r="F39" i="5" s="1"/>
  <c r="K39" i="5" s="1"/>
  <c r="H36" i="5"/>
  <c r="J36" i="5" s="1"/>
  <c r="I35" i="5"/>
  <c r="H35" i="5"/>
  <c r="M31" i="5"/>
  <c r="G31" i="5" s="1"/>
  <c r="L31" i="5"/>
  <c r="F31" i="5" s="1"/>
  <c r="M29" i="5"/>
  <c r="G29" i="5" s="1"/>
  <c r="I29" i="5" s="1"/>
  <c r="L29" i="5"/>
  <c r="F29" i="5" s="1"/>
  <c r="H28" i="5"/>
  <c r="H26" i="5"/>
  <c r="K17" i="5"/>
  <c r="I12" i="5"/>
  <c r="H12" i="5"/>
  <c r="L21" i="9"/>
  <c r="F21" i="9" s="1"/>
  <c r="M21" i="9"/>
  <c r="G21" i="9" s="1"/>
  <c r="I21" i="9" s="1"/>
  <c r="K62" i="5"/>
  <c r="H62" i="5"/>
  <c r="E39" i="4"/>
  <c r="E39" i="5"/>
  <c r="I60" i="5"/>
  <c r="H59" i="5"/>
  <c r="I59" i="5"/>
  <c r="I54" i="5"/>
  <c r="I46" i="5"/>
  <c r="H46" i="5"/>
  <c r="L40" i="5"/>
  <c r="F40" i="5" s="1"/>
  <c r="M40" i="5"/>
  <c r="G40" i="5" s="1"/>
  <c r="H11" i="5"/>
  <c r="H54" i="9"/>
  <c r="K53" i="9"/>
  <c r="H53" i="9"/>
  <c r="H44" i="9"/>
  <c r="I44" i="9"/>
  <c r="I37" i="9"/>
  <c r="H37" i="9"/>
  <c r="J24" i="3"/>
  <c r="J30" i="3" s="1"/>
  <c r="E41" i="4"/>
  <c r="E42" i="5" s="1"/>
  <c r="E42" i="4"/>
  <c r="E43" i="5" s="1"/>
  <c r="M90" i="5"/>
  <c r="G90" i="5" s="1"/>
  <c r="I90" i="5" s="1"/>
  <c r="J90" i="5" s="1"/>
  <c r="M56" i="5"/>
  <c r="G56" i="5" s="1"/>
  <c r="L56" i="5"/>
  <c r="F56" i="5" s="1"/>
  <c r="M34" i="5"/>
  <c r="G34" i="5" s="1"/>
  <c r="I34" i="5" s="1"/>
  <c r="J34" i="5" s="1"/>
  <c r="L34" i="5"/>
  <c r="F34" i="5" s="1"/>
  <c r="J22" i="5"/>
  <c r="L78" i="5"/>
  <c r="F78" i="5" s="1"/>
  <c r="H93" i="5"/>
  <c r="J93" i="5" s="1"/>
  <c r="M89" i="5"/>
  <c r="G89" i="5" s="1"/>
  <c r="I89" i="5" s="1"/>
  <c r="J89" i="5" s="1"/>
  <c r="M86" i="5"/>
  <c r="G86" i="5" s="1"/>
  <c r="K86" i="5" s="1"/>
  <c r="H75" i="5"/>
  <c r="H71" i="5"/>
  <c r="J71" i="5" s="1"/>
  <c r="L58" i="5"/>
  <c r="F58" i="5" s="1"/>
  <c r="M58" i="5"/>
  <c r="G58" i="5" s="1"/>
  <c r="I58" i="5" s="1"/>
  <c r="L57" i="5"/>
  <c r="F57" i="5" s="1"/>
  <c r="K49" i="5"/>
  <c r="M47" i="5"/>
  <c r="G47" i="5" s="1"/>
  <c r="I47" i="5" s="1"/>
  <c r="L47" i="5"/>
  <c r="F47" i="5" s="1"/>
  <c r="K44" i="5"/>
  <c r="H44" i="5"/>
  <c r="K25" i="5"/>
  <c r="M21" i="5"/>
  <c r="G21" i="5" s="1"/>
  <c r="L21" i="5"/>
  <c r="F21" i="5" s="1"/>
  <c r="K21" i="5" s="1"/>
  <c r="K50" i="9"/>
  <c r="H50" i="9"/>
  <c r="J50" i="9" s="1"/>
  <c r="K49" i="9"/>
  <c r="J46" i="9"/>
  <c r="H25" i="9"/>
  <c r="I25" i="9"/>
  <c r="M51" i="5"/>
  <c r="G51" i="5" s="1"/>
  <c r="I51" i="5" s="1"/>
  <c r="L51" i="5"/>
  <c r="F51" i="5" s="1"/>
  <c r="K33" i="5"/>
  <c r="K22" i="5"/>
  <c r="L19" i="5"/>
  <c r="M19" i="5"/>
  <c r="K47" i="9"/>
  <c r="H47" i="9"/>
  <c r="J47" i="9" s="1"/>
  <c r="K39" i="9"/>
  <c r="H39" i="9"/>
  <c r="J39" i="9" s="1"/>
  <c r="L34" i="9"/>
  <c r="F34" i="9" s="1"/>
  <c r="M34" i="9"/>
  <c r="G34" i="9" s="1"/>
  <c r="I34" i="9" s="1"/>
  <c r="J13" i="9"/>
  <c r="H64" i="5"/>
  <c r="M54" i="5"/>
  <c r="G54" i="5" s="1"/>
  <c r="L54" i="5"/>
  <c r="F54" i="5" s="1"/>
  <c r="K54" i="5" s="1"/>
  <c r="M45" i="5"/>
  <c r="G45" i="5" s="1"/>
  <c r="L45" i="5"/>
  <c r="F45" i="5" s="1"/>
  <c r="K45" i="5" s="1"/>
  <c r="L24" i="5"/>
  <c r="F24" i="5" s="1"/>
  <c r="K24" i="5" s="1"/>
  <c r="L23" i="5"/>
  <c r="F23" i="5" s="1"/>
  <c r="K23" i="5" s="1"/>
  <c r="H22" i="5"/>
  <c r="M14" i="5"/>
  <c r="G14" i="5" s="1"/>
  <c r="I14" i="5" s="1"/>
  <c r="J14" i="5" s="1"/>
  <c r="L14" i="5"/>
  <c r="F14" i="5" s="1"/>
  <c r="L35" i="9"/>
  <c r="F35" i="9" s="1"/>
  <c r="M35" i="9"/>
  <c r="G35" i="9" s="1"/>
  <c r="I35" i="9" s="1"/>
  <c r="H31" i="9"/>
  <c r="I31" i="9"/>
  <c r="M29" i="9"/>
  <c r="G29" i="9" s="1"/>
  <c r="I29" i="9" s="1"/>
  <c r="L29" i="9"/>
  <c r="F29" i="9" s="1"/>
  <c r="H22" i="9"/>
  <c r="I22" i="9"/>
  <c r="J22" i="9" s="1"/>
  <c r="H14" i="9"/>
  <c r="I64" i="5"/>
  <c r="I56" i="5"/>
  <c r="I52" i="5"/>
  <c r="H52" i="5"/>
  <c r="H34" i="5"/>
  <c r="I31" i="5"/>
  <c r="I26" i="5"/>
  <c r="I25" i="5"/>
  <c r="J25" i="5" s="1"/>
  <c r="H25" i="5"/>
  <c r="I23" i="5"/>
  <c r="K18" i="5"/>
  <c r="I16" i="5"/>
  <c r="M13" i="5"/>
  <c r="G13" i="5" s="1"/>
  <c r="I13" i="5" s="1"/>
  <c r="L13" i="5"/>
  <c r="F13" i="5" s="1"/>
  <c r="I51" i="9"/>
  <c r="M48" i="9"/>
  <c r="G48" i="9" s="1"/>
  <c r="L48" i="9"/>
  <c r="F48" i="9" s="1"/>
  <c r="K48" i="9" s="1"/>
  <c r="H27" i="9"/>
  <c r="I27" i="9"/>
  <c r="K13" i="9"/>
  <c r="K19" i="3"/>
  <c r="I24" i="5"/>
  <c r="I54" i="9"/>
  <c r="K52" i="9"/>
  <c r="H51" i="9"/>
  <c r="I43" i="9"/>
  <c r="H43" i="9"/>
  <c r="H28" i="9"/>
  <c r="I28" i="9"/>
  <c r="J28" i="9" s="1"/>
  <c r="M24" i="9"/>
  <c r="G24" i="9" s="1"/>
  <c r="I24" i="9" s="1"/>
  <c r="L24" i="9"/>
  <c r="F24" i="9" s="1"/>
  <c r="I18" i="9"/>
  <c r="I16" i="9"/>
  <c r="J16" i="9" s="1"/>
  <c r="K12" i="3"/>
  <c r="M16" i="5"/>
  <c r="G16" i="5" s="1"/>
  <c r="L16" i="5"/>
  <c r="F16" i="5" s="1"/>
  <c r="K16" i="5" s="1"/>
  <c r="M11" i="5"/>
  <c r="G11" i="5" s="1"/>
  <c r="I11" i="5" s="1"/>
  <c r="L11" i="5"/>
  <c r="F11" i="5" s="1"/>
  <c r="H55" i="9"/>
  <c r="J55" i="9" s="1"/>
  <c r="M33" i="9"/>
  <c r="G33" i="9" s="1"/>
  <c r="I33" i="9" s="1"/>
  <c r="L33" i="9"/>
  <c r="F33" i="9" s="1"/>
  <c r="J26" i="9"/>
  <c r="K23" i="9"/>
  <c r="K20" i="9"/>
  <c r="H20" i="9"/>
  <c r="J20" i="9" s="1"/>
  <c r="M18" i="9"/>
  <c r="G18" i="9" s="1"/>
  <c r="L18" i="9"/>
  <c r="F18" i="9" s="1"/>
  <c r="K18" i="3"/>
  <c r="I48" i="9"/>
  <c r="K46" i="9"/>
  <c r="H36" i="9"/>
  <c r="H34" i="9"/>
  <c r="M30" i="9"/>
  <c r="G30" i="9" s="1"/>
  <c r="I30" i="9" s="1"/>
  <c r="L30" i="9"/>
  <c r="F30" i="9" s="1"/>
  <c r="H23" i="9"/>
  <c r="J23" i="9" s="1"/>
  <c r="H19" i="9"/>
  <c r="I19" i="9"/>
  <c r="K15" i="9"/>
  <c r="K25" i="3"/>
  <c r="H38" i="9"/>
  <c r="J38" i="9" s="1"/>
  <c r="I14" i="9"/>
  <c r="K21" i="3"/>
  <c r="H49" i="9"/>
  <c r="J49" i="9" s="1"/>
  <c r="H42" i="9"/>
  <c r="J42" i="9" s="1"/>
  <c r="I26" i="3"/>
  <c r="J26" i="3"/>
  <c r="K20" i="3"/>
  <c r="J36" i="9" l="1"/>
  <c r="J88" i="5"/>
  <c r="I86" i="5"/>
  <c r="J86" i="5" s="1"/>
  <c r="K27" i="9"/>
  <c r="J32" i="9"/>
  <c r="J11" i="5"/>
  <c r="K30" i="9"/>
  <c r="H30" i="9"/>
  <c r="J30" i="9" s="1"/>
  <c r="J24" i="5"/>
  <c r="H60" i="5"/>
  <c r="K60" i="5"/>
  <c r="K26" i="3"/>
  <c r="H51" i="5"/>
  <c r="K51" i="5"/>
  <c r="J60" i="5"/>
  <c r="H73" i="5"/>
  <c r="J73" i="5" s="1"/>
  <c r="K63" i="5"/>
  <c r="H63" i="5"/>
  <c r="J63" i="5" s="1"/>
  <c r="K18" i="9"/>
  <c r="H18" i="9"/>
  <c r="J18" i="9" s="1"/>
  <c r="J51" i="9"/>
  <c r="K35" i="9"/>
  <c r="H35" i="9"/>
  <c r="J35" i="9" s="1"/>
  <c r="J51" i="5"/>
  <c r="K78" i="5"/>
  <c r="H78" i="5"/>
  <c r="J78" i="5" s="1"/>
  <c r="H48" i="5"/>
  <c r="J12" i="5"/>
  <c r="J48" i="5"/>
  <c r="J12" i="9"/>
  <c r="I64" i="9"/>
  <c r="K89" i="5"/>
  <c r="J19" i="9"/>
  <c r="H23" i="5"/>
  <c r="J27" i="9"/>
  <c r="K13" i="5"/>
  <c r="H13" i="5"/>
  <c r="J52" i="5"/>
  <c r="K29" i="9"/>
  <c r="H29" i="9"/>
  <c r="K14" i="5"/>
  <c r="K34" i="9"/>
  <c r="J25" i="9"/>
  <c r="K47" i="5"/>
  <c r="H47" i="5"/>
  <c r="J44" i="9"/>
  <c r="H54" i="5"/>
  <c r="K43" i="5"/>
  <c r="J65" i="5"/>
  <c r="K17" i="9"/>
  <c r="H17" i="9"/>
  <c r="K51" i="9"/>
  <c r="K87" i="5"/>
  <c r="H87" i="5"/>
  <c r="J87" i="5" s="1"/>
  <c r="K21" i="9"/>
  <c r="H21" i="9"/>
  <c r="J45" i="5"/>
  <c r="K24" i="3"/>
  <c r="K30" i="3" s="1"/>
  <c r="H56" i="5"/>
  <c r="J56" i="5" s="1"/>
  <c r="K56" i="5"/>
  <c r="J46" i="5"/>
  <c r="J54" i="9"/>
  <c r="J13" i="5"/>
  <c r="J29" i="9"/>
  <c r="J47" i="5"/>
  <c r="I43" i="5"/>
  <c r="H43" i="5"/>
  <c r="J54" i="5"/>
  <c r="H20" i="5"/>
  <c r="I20" i="5"/>
  <c r="J20" i="5" s="1"/>
  <c r="J17" i="9"/>
  <c r="J94" i="5"/>
  <c r="J14" i="9"/>
  <c r="H48" i="9"/>
  <c r="K11" i="5"/>
  <c r="I30" i="3"/>
  <c r="H24" i="5"/>
  <c r="H16" i="5"/>
  <c r="J16" i="5" s="1"/>
  <c r="J26" i="5"/>
  <c r="J64" i="5"/>
  <c r="J31" i="9"/>
  <c r="K34" i="5"/>
  <c r="H42" i="5"/>
  <c r="I42" i="5"/>
  <c r="J42" i="5" s="1"/>
  <c r="K40" i="5"/>
  <c r="J59" i="5"/>
  <c r="I39" i="5"/>
  <c r="J39" i="5" s="1"/>
  <c r="H39" i="5"/>
  <c r="J21" i="9"/>
  <c r="J35" i="5"/>
  <c r="H45" i="5"/>
  <c r="I21" i="5"/>
  <c r="J21" i="5" s="1"/>
  <c r="H21" i="5"/>
  <c r="J30" i="5"/>
  <c r="J55" i="5"/>
  <c r="K94" i="5"/>
  <c r="H29" i="5"/>
  <c r="J29" i="5" s="1"/>
  <c r="K29" i="5"/>
  <c r="J48" i="9"/>
  <c r="K57" i="5"/>
  <c r="H57" i="5"/>
  <c r="J57" i="5" s="1"/>
  <c r="E40" i="4"/>
  <c r="E41" i="5" s="1"/>
  <c r="E40" i="5"/>
  <c r="J43" i="9"/>
  <c r="J58" i="5"/>
  <c r="K33" i="9"/>
  <c r="H33" i="9"/>
  <c r="J33" i="9" s="1"/>
  <c r="K24" i="9"/>
  <c r="H24" i="9"/>
  <c r="J24" i="9" s="1"/>
  <c r="J23" i="5"/>
  <c r="J34" i="9"/>
  <c r="K58" i="5"/>
  <c r="H58" i="5"/>
  <c r="J37" i="9"/>
  <c r="H31" i="5"/>
  <c r="J31" i="5" s="1"/>
  <c r="K31" i="5"/>
  <c r="J17" i="5"/>
  <c r="H96" i="5" l="1"/>
  <c r="J43" i="5"/>
  <c r="H40" i="5"/>
  <c r="I40" i="5"/>
  <c r="S37" i="9"/>
  <c r="I41" i="5"/>
  <c r="H41" i="5"/>
  <c r="J64" i="9"/>
  <c r="S19" i="9" s="1"/>
  <c r="S31" i="9" l="1"/>
  <c r="J40" i="5"/>
  <c r="I96" i="5"/>
  <c r="S45" i="9"/>
  <c r="S52" i="9"/>
  <c r="S40" i="9"/>
  <c r="S47" i="9"/>
  <c r="S49" i="9"/>
  <c r="S26" i="9"/>
  <c r="S22" i="9"/>
  <c r="S50" i="9"/>
  <c r="S55" i="9"/>
  <c r="S15" i="9"/>
  <c r="S20" i="9"/>
  <c r="S39" i="9"/>
  <c r="S42" i="9"/>
  <c r="S13" i="9"/>
  <c r="S46" i="9"/>
  <c r="S23" i="9"/>
  <c r="S28" i="9"/>
  <c r="S32" i="9"/>
  <c r="S41" i="9"/>
  <c r="S36" i="9"/>
  <c r="S38" i="9"/>
  <c r="S53" i="9"/>
  <c r="S16" i="9"/>
  <c r="S30" i="9"/>
  <c r="S33" i="9"/>
  <c r="S12" i="9"/>
  <c r="T12" i="9" s="1"/>
  <c r="J41" i="5"/>
  <c r="S14" i="9"/>
  <c r="S21" i="9"/>
  <c r="S43" i="9"/>
  <c r="S44" i="9"/>
  <c r="S34" i="9"/>
  <c r="S51" i="9"/>
  <c r="S48" i="9"/>
  <c r="S25" i="9"/>
  <c r="S35" i="9"/>
  <c r="S18" i="9"/>
  <c r="S27" i="9"/>
  <c r="S29" i="9"/>
  <c r="S54" i="9"/>
  <c r="S17" i="9"/>
  <c r="S24" i="9"/>
  <c r="T13" i="9" l="1"/>
  <c r="U12" i="9"/>
  <c r="J96" i="5"/>
  <c r="T14" i="9" l="1"/>
  <c r="U13" i="9"/>
  <c r="T15" i="9" l="1"/>
  <c r="U14" i="9"/>
  <c r="U15" i="9" l="1"/>
  <c r="T16" i="9"/>
  <c r="T17" i="9" l="1"/>
  <c r="U16" i="9"/>
  <c r="U17" i="9" l="1"/>
  <c r="T18" i="9"/>
  <c r="T19" i="9" l="1"/>
  <c r="U18" i="9"/>
  <c r="T20" i="9" l="1"/>
  <c r="U19" i="9"/>
  <c r="U20" i="9" l="1"/>
  <c r="T21" i="9"/>
  <c r="U21" i="9" l="1"/>
  <c r="T22" i="9"/>
  <c r="T23" i="9" l="1"/>
  <c r="U22" i="9"/>
  <c r="U23" i="9" l="1"/>
  <c r="T24" i="9"/>
  <c r="U24" i="9" l="1"/>
  <c r="T25" i="9"/>
  <c r="U25" i="9" l="1"/>
  <c r="T26" i="9"/>
  <c r="U26" i="9" l="1"/>
  <c r="T27" i="9"/>
  <c r="T28" i="9" l="1"/>
  <c r="U27" i="9"/>
  <c r="T29" i="9" l="1"/>
  <c r="U28" i="9"/>
  <c r="U29" i="9" l="1"/>
  <c r="T30" i="9"/>
  <c r="U30" i="9" l="1"/>
  <c r="T31" i="9"/>
  <c r="T32" i="9" l="1"/>
  <c r="U31" i="9"/>
  <c r="U32" i="9" l="1"/>
  <c r="T33" i="9"/>
  <c r="U33" i="9" l="1"/>
  <c r="T34" i="9"/>
  <c r="U34" i="9" l="1"/>
  <c r="T35" i="9"/>
  <c r="U35" i="9" l="1"/>
  <c r="T36" i="9"/>
  <c r="U36" i="9" l="1"/>
  <c r="T37" i="9"/>
  <c r="T38" i="9" l="1"/>
  <c r="U37" i="9"/>
  <c r="T39" i="9" l="1"/>
  <c r="U38" i="9"/>
  <c r="U39" i="9" l="1"/>
  <c r="T40" i="9"/>
  <c r="T41" i="9" l="1"/>
  <c r="U40" i="9"/>
  <c r="U41" i="9" l="1"/>
  <c r="T42" i="9"/>
  <c r="T43" i="9" l="1"/>
  <c r="U42" i="9"/>
  <c r="U43" i="9" l="1"/>
  <c r="T44" i="9"/>
  <c r="U44" i="9" l="1"/>
  <c r="T45" i="9"/>
  <c r="U45" i="9" l="1"/>
  <c r="T46" i="9"/>
  <c r="T47" i="9" l="1"/>
  <c r="U46" i="9"/>
  <c r="U47" i="9" l="1"/>
  <c r="T48" i="9"/>
  <c r="U48" i="9" l="1"/>
  <c r="T49" i="9"/>
  <c r="T50" i="9" l="1"/>
  <c r="U49" i="9"/>
  <c r="U50" i="9" l="1"/>
  <c r="T51" i="9"/>
  <c r="U51" i="9" l="1"/>
  <c r="T52" i="9"/>
  <c r="U52" i="9" l="1"/>
  <c r="T53" i="9"/>
  <c r="U53" i="9" l="1"/>
  <c r="T54" i="9"/>
  <c r="T55" i="9" l="1"/>
  <c r="U55" i="9" s="1"/>
  <c r="U54" i="9"/>
</calcChain>
</file>

<file path=xl/sharedStrings.xml><?xml version="1.0" encoding="utf-8"?>
<sst xmlns="http://schemas.openxmlformats.org/spreadsheetml/2006/main" count="2143" uniqueCount="797">
  <si>
    <t>PREFEITURA MUNICIPAL DE CAMPO BOM/RS</t>
  </si>
  <si>
    <t>Secretaria Municipal de Obras, Planejamento e  Serviços Urbanos</t>
  </si>
  <si>
    <t>CRONOGRAMA FÍSICO-FINANCEIRO</t>
  </si>
  <si>
    <t xml:space="preserve">01 - OBJETO: Execução de serviços de terraplanagem na futura Secretaria de Obras, localizada na rua Olivia K. Gerhardt esquina rua Nilo Peçanha, bairro Vila Rica ,  no município de Campo Bom.    </t>
  </si>
  <si>
    <t xml:space="preserve">MÊS </t>
  </si>
  <si>
    <t>FRAÇÃO (%)</t>
  </si>
  <si>
    <t>1º</t>
  </si>
  <si>
    <t>2º</t>
  </si>
  <si>
    <t>3º</t>
  </si>
  <si>
    <t>4º</t>
  </si>
  <si>
    <t>5º</t>
  </si>
  <si>
    <t>6º</t>
  </si>
  <si>
    <t>TOTAL</t>
  </si>
  <si>
    <t>Município de Campo Bom</t>
  </si>
  <si>
    <t>Estado do Rio Grande do Sul – Brasil</t>
  </si>
  <si>
    <r>
      <rPr>
        <b/>
        <sz val="14"/>
        <color indexed="8"/>
        <rFont val="Times New Roman"/>
        <family val="1"/>
        <charset val="1"/>
      </rPr>
      <t>01 - OBJETO:</t>
    </r>
    <r>
      <rPr>
        <sz val="14"/>
        <color indexed="8"/>
        <rFont val="Times New Roman"/>
        <family val="1"/>
        <charset val="1"/>
      </rPr>
      <t xml:space="preserve"> Contratação de empresa para prestação de serviços com fornecimento parcial de material, mão de obra, equipamentos e responsabilidade técnica na execução de serviços de terraplanagem na futura Secretaria de Obras, localizada na rua Olivia K. Gerhardt esquina rua Nilo Peçanha, bairro Vila Rica ,  no município de Campo Bom, Rio Grande do Sul, conforme condições, quantidades e exigências estabelecidas no memorial descritivo, orçamento e seus anexos.</t>
    </r>
  </si>
  <si>
    <t>MEMÓRIA DE CÁLCULO QUANTITATIVOS</t>
  </si>
  <si>
    <t>ITEM</t>
  </si>
  <si>
    <t>REFERÊNCIA</t>
  </si>
  <si>
    <t>DESCRIÇÃO DOS SERVIÇOS</t>
  </si>
  <si>
    <t>UNID</t>
  </si>
  <si>
    <t>QUANT</t>
  </si>
  <si>
    <t>MEMÓRIA</t>
  </si>
  <si>
    <t>ADMINISTRAÇÃO LOCAL</t>
  </si>
  <si>
    <t>1.1</t>
  </si>
  <si>
    <t>E9666</t>
  </si>
  <si>
    <t xml:space="preserve">Transporte equip. obra-gr.porte </t>
  </si>
  <si>
    <t>H</t>
  </si>
  <si>
    <t>ESTIMATIVA</t>
  </si>
  <si>
    <t>1.2</t>
  </si>
  <si>
    <t>A9316</t>
  </si>
  <si>
    <t>Transporte equip. obra-md.portes</t>
  </si>
  <si>
    <t>1.3</t>
  </si>
  <si>
    <t>S- 10775</t>
  </si>
  <si>
    <t>Instalação deposito/sanitário</t>
  </si>
  <si>
    <t>MÊS</t>
  </si>
  <si>
    <t>PERÍODO DA OBRA</t>
  </si>
  <si>
    <t xml:space="preserve">SERVIÇOS PRELIMINARES </t>
  </si>
  <si>
    <t>2.1</t>
  </si>
  <si>
    <t>S-103689</t>
  </si>
  <si>
    <t>Placa de obra 1,5x2,0</t>
  </si>
  <si>
    <t>M2</t>
  </si>
  <si>
    <t>PLACA 1,5*2M</t>
  </si>
  <si>
    <t>TERRAPLANAGEM</t>
  </si>
  <si>
    <t>3.1</t>
  </si>
  <si>
    <t>S-90091</t>
  </si>
  <si>
    <t>Escavação mecânica, a céu aberto, em material de 1a categoria, com escavadeira hidráulica (usina do Município)</t>
  </si>
  <si>
    <t>M3</t>
  </si>
  <si>
    <t>CONFORME  LEVANTAMENTO 50 CM NA ÁREA ÚTIL (0,50m*26.249,68m2)</t>
  </si>
  <si>
    <t>3.2</t>
  </si>
  <si>
    <t>S-93592</t>
  </si>
  <si>
    <t>Transporte com caminhão basculante, em via urbana (dmt 6,1km-usina até futura Secretaria de Obras)</t>
  </si>
  <si>
    <t>M3XKM</t>
  </si>
  <si>
    <t>ESCAVAÇÃO NA USINA COM ARGILA x EMPOLAMENTO X DMT( 13.124,84*1,3*6,1)</t>
  </si>
  <si>
    <t>3.3</t>
  </si>
  <si>
    <t>ORÇ. MERCADO</t>
  </si>
  <si>
    <t>Fornecimento de solo predominantemente  arenoso para aterro em jazida licenciada</t>
  </si>
  <si>
    <t>CONFORME LEVANTAMENTO DIFERENÇA À IMPORTAR</t>
  </si>
  <si>
    <t>3.4</t>
  </si>
  <si>
    <t>Transporte com caminhão basculante, em via urbana (dmt estimada em até 6,1km)</t>
  </si>
  <si>
    <t>FORNECIMENTO EM LOCAIS A SEREM DEFINIDOS x EMPOLAMENTOX DMT ESTIMADA ( 4.479,97)*1,3*6,1KM</t>
  </si>
  <si>
    <t>3.5</t>
  </si>
  <si>
    <t>S-100574</t>
  </si>
  <si>
    <t xml:space="preserve">Espalhamento de material de 1a categoria com trator de esteira </t>
  </si>
  <si>
    <t>VOLUME DE ESPALHAMENTO COM EMPOLAMENTO (13.124,84*1,3)</t>
  </si>
  <si>
    <t>3.6</t>
  </si>
  <si>
    <t>Espalhamento de material com trator de esteira (volume de corte + material arenoso importado)</t>
  </si>
  <si>
    <t>VOLUME DE ESPALHAMENTO COM EMPOLAMENTO (3.207,92+4.479,97)*1,3)</t>
  </si>
  <si>
    <t>3.7</t>
  </si>
  <si>
    <t>S-105564</t>
  </si>
  <si>
    <t xml:space="preserve">Execução e compactação de corpo de aterro (95% de energia do proctor normal), em camadas com espessura de 20 cm - exclusive escavação, carga e transporte e solo. Af_09/2024 </t>
  </si>
  <si>
    <t>ESTIMATIVA DE 100% SOLOS  -VOLUME COMPACTADO ( 13.124,84+3.207,92+4.479,97)</t>
  </si>
  <si>
    <t>3.8</t>
  </si>
  <si>
    <t>S-105730</t>
  </si>
  <si>
    <t>Construção de base e sub-base para pavimentação de rachao, com espessura de 50cm – exclusive carga e transporte Af -09/2024</t>
  </si>
  <si>
    <t>ESTIMATIVA PARA REFORÇOS E OU SUBSTITUIÇÃO</t>
  </si>
  <si>
    <t>3.9</t>
  </si>
  <si>
    <t>S-105566</t>
  </si>
  <si>
    <t>Transporte de rachão (DMT 15 km)</t>
  </si>
  <si>
    <t>TRANSPORTE DE MATERIAIS BRITADOS COM EMPOLAMENTO E DMT (1,3%/15KM</t>
  </si>
  <si>
    <t>SINALIZAÇÃO PROVISÓRIA</t>
  </si>
  <si>
    <t>4.1</t>
  </si>
  <si>
    <t>SICRO-5212556</t>
  </si>
  <si>
    <t>Placa para sinalização de obras montada em cavalete metálico - 1,00 x 1,00 M</t>
  </si>
  <si>
    <t>UNIDXDIA</t>
  </si>
  <si>
    <t>ESTIMATIVA 3 UNIDADES*100 DIAS</t>
  </si>
  <si>
    <t>PLANILHA DE ORÇAMENTO</t>
  </si>
  <si>
    <t xml:space="preserve">REFERÊNCIA </t>
  </si>
  <si>
    <t>CUSTO UNITÁRIO</t>
  </si>
  <si>
    <t>PREÇO UNITÁRIO</t>
  </si>
  <si>
    <t>PREÇO TOTAL</t>
  </si>
  <si>
    <t>Mat. (R$-unit)</t>
  </si>
  <si>
    <t>MO (R$-unit)</t>
  </si>
  <si>
    <t>R$-Total Mat.</t>
  </si>
  <si>
    <t>R$-Total M.O.</t>
  </si>
  <si>
    <t>TOTAL GERAL</t>
  </si>
  <si>
    <t>ORÇ. MERC</t>
  </si>
  <si>
    <t>Espalhamento de material  com trator de esteira (volume de corte + material arenoso importado</t>
  </si>
  <si>
    <t>Construção de base e sub-base para pavimentação de rachão, com espessura de 50cm – exclusive carga e transporte Af -09/2024</t>
  </si>
  <si>
    <t>Placa para sinalização de obras montada em cavalete metálico - 1,00 x 1,00 m</t>
  </si>
  <si>
    <t>UNXDIA</t>
  </si>
  <si>
    <t>MÃO DE OBRA DESONERADA</t>
  </si>
  <si>
    <t>Preço Total</t>
  </si>
  <si>
    <t>SINAPI- 06/2025- SICRO 04/2025 -MERCADO 09/2025</t>
  </si>
  <si>
    <t>ENCARGOS SOCIAIS 90,22%/ BDI 25,60%</t>
  </si>
  <si>
    <t>S: SINAPI</t>
  </si>
  <si>
    <t>78472 SERVICOS TOPOGRAFICOS PARA PAVIMENTACAO, INCLUSIVE NOTA DE SERVICOS, A M2 CR 0,35</t>
  </si>
  <si>
    <t>COMPANHAMENTO E GREIDE</t>
  </si>
  <si>
    <t>85375 REMOCAO DE BLOKRET COM EMPILHAMENTO M2 CR 10,47</t>
  </si>
  <si>
    <t>74209/001 PLACA DE OBRA EM CHAPA DE ACO GALVANIZADO M2 CR 225,87</t>
  </si>
  <si>
    <t>73714 CAIXA PARA RALO C OM GRELHA FOFO 135 KG DE ALV TIJOLO MACICO (7X10X20) UN AS 1.247,16</t>
  </si>
  <si>
    <t>PAREDES DE UMA VEZ (0.20 M) DE 0.90X1.20X1.50 M (EXTERNA) COM ARGAMAS</t>
  </si>
  <si>
    <t>SA 1:4 CIMENTO:AREIA, BASE CONC FCK=10 MPA, EXCLUSIVE ESCAVACAO E REAT</t>
  </si>
  <si>
    <t>ERRO.</t>
  </si>
  <si>
    <t>90695 TUBO DE PVC PARA REDE COLETORA DE ESGOTO DE PAREDE MACIÇA, DN 150 MM, M CR 39,25</t>
  </si>
  <si>
    <t>JUNTA ELÁSTICA, INSTALADO EM LOCAL COM NÍVEL BAIXO DE INTERFERÊNCIAS -</t>
  </si>
  <si>
    <t>FORNECIMENTO E ASSENTAMENTO. AF_06/2015</t>
  </si>
  <si>
    <t>90106 ESCAVAÇÃO MECANIZADA DE VALA COM PROFUNDIDADE ATÉ 1,5 M (MÉDIA ENTRE M M3 CR 10,27</t>
  </si>
  <si>
    <t>ONTANTE E JUSANTE/UMA COMPOSIÇÃO POR TRECHO) COM RETROESCAVADEIRA (CAP</t>
  </si>
  <si>
    <t>ACIDADE DA CAÇAMBA DA RETRO: 0,26 M3 / POTÊNCIA: 88 HP), LARGURA DE 0,</t>
  </si>
  <si>
    <t>8 M A 1,5 M, EM SOLO DE 1A CATEGORIA, LOCAISCOM BAIXO NÍVEL DE INTERFE</t>
  </si>
  <si>
    <t>RÊNCIA. AF_01/2015</t>
  </si>
  <si>
    <t>95302 TRANSPORTE COM CAMINHÃO BASCULANTE 6 M3 EM RODOVIA PAVIMENTADA ( PARA M3XKM CR 1,21</t>
  </si>
  <si>
    <t>DISTÂNCIAS SUPERIORES A 4 KM)</t>
  </si>
  <si>
    <t>74010/001 CARGA E DESCARGA MECANICA DE SOLO UTILIZANDO CAMINHAO BASCULANTE 6,0M3 M3 CR 1,50</t>
  </si>
  <si>
    <t>/16T E PA CARREGADEIRA SOBRE PNEUS 128 HP, CAPACIDADE DA CAÇAMBA 1,7 A</t>
  </si>
  <si>
    <t>2,8 M3, PESO OPERACIONAL 11632 KG</t>
  </si>
  <si>
    <t>72961 REGULARIZACAO E COMPACTACAO DE SUBLEITO ATE 20 CM DE ESPESSURA M2 CR 1,22</t>
  </si>
  <si>
    <t>73817/002 EMBASAMENTO DE MATERIAL GRANULAR - RACHAO M3 CR 89,81</t>
  </si>
  <si>
    <t>73710 BASE PARA PAVIMENTACAO COM BRITA GRADUADA, INCLUSIVE COMPACTACAO M3 AS 80,00</t>
  </si>
  <si>
    <t>72887 TRANSPORTE COMERCIAL COM CAMINHAO BASCULANTE 6 M3, RODOVIA PAVIMENTADA M3XKM CR 0,91</t>
  </si>
  <si>
    <t>83356 TRANSPORTE COMERCIAL DE BRITA M3XKM CR 0,66</t>
  </si>
  <si>
    <t>72893 CARGA, MANOBRAS E DESCARGA DE BRITA PARA BASE DE MACADAME, COM CAMINHA M3 CR 2,56</t>
  </si>
  <si>
    <t>O BASCULANTE 6 M3, DESCARGA EM DISTRIBUIDOR</t>
  </si>
  <si>
    <t>95990 CONSTRUÇÃO DE PAVIMENTO COM APLICAÇÃO DE CONCRETO BETUMINOSO USINADO A M3 CR 861,07</t>
  </si>
  <si>
    <t>QUENTE (CBUQ), CAMADA DE ROLAMENTO, COM ESPESSURA DE 3,0 CM EXCLUSI</t>
  </si>
  <si>
    <t>VE TRANSPORTE. AF_03/2017</t>
  </si>
  <si>
    <t>72891 CARGA, MANOBRAS E DESCARGA DE MISTURA BETUMINOSA A QUENTE, COM CAMINHA M3 CR 4,76</t>
  </si>
  <si>
    <t>O BASCULANTE 6 M3, DESCARGA EM VIBRO-ACABADORA</t>
  </si>
  <si>
    <t>85179 PLANTIO DE GRAMA SAO CARLOS EM LEIVAS M2 CR 19,59</t>
  </si>
  <si>
    <t>94273 ASSENTAMENTO DE GUIA (MEIO-FIO) EM TRECHO RETO, CONFECCIONADA EM CONCR M CR 34,52</t>
  </si>
  <si>
    <t>ETO PRÉ-FABRICADO, DIMENSÕES 100X15X13X30 CM (COMPRIMENTO X BASE INFER</t>
  </si>
  <si>
    <t>73900/012 ENSAIOS DE CONCRETO ASFALTICO T CR 32,14</t>
  </si>
  <si>
    <t>94304 ATERRO MECANIZADO DE VALA COM ESCAVADEIRA HIDRÁULICA (CAPACIDADE DA CA M3 CR 25,60</t>
  </si>
  <si>
    <t>ÇAMBA: 0,8 M³ / POTÊNCIA: 111 HP), LARGURA DE 1,5 A 2,5 M, PROFUNDIDAD</t>
  </si>
  <si>
    <t>E ATÉ 1,5 M, COM SOLO ARGILO-ARENOSO. AF_05/2016</t>
  </si>
  <si>
    <t>72947 SINALIZACAO HORIZONTAL COM TINTA RETRORREFLETIVA A BASE DE RESINA ACRI M2 AS 22,40</t>
  </si>
  <si>
    <t>LICA COM MICROESFERAS DE VIDRO</t>
  </si>
  <si>
    <t>72945 IMPRIMACAO DE BASE DE PAVIMENTACAO COM ADP CM-30 M2 AS 4,29</t>
  </si>
  <si>
    <t>72942 PINTURA DE LIGACAO COM EMULSAO RR-1C M2 AS 1,11</t>
  </si>
  <si>
    <t>95303 TRANSPORTE COM CAMINHÃO BASCULANTE 10 M3 DE MASSA ASFALTICA PARA PAVIM M3XKM CR 0,84</t>
  </si>
  <si>
    <t>1 - OBJETO: Empreitada global com medições por custo unitário com fornecimento de material, mão de obra, equipamentos e responsabilidade técnica na pavimentação asfáltica na Av Protásio Machaski (trecho entre o Idalino João Martim até asfalto existente). LOTE 01</t>
  </si>
  <si>
    <t>LOTE 01: PORÇÃO LONGITUDINAL OESTE (LINHA DE MURO OESTE ATÉ EIXO DO CANTEIRO CENTRAL CONFORME PRANCHA 1-A). EXCLUSIVO PMCB.</t>
  </si>
  <si>
    <t>MEMÓRIA DE CÁLCULO QUANTITATIVOS LOTE 01</t>
  </si>
  <si>
    <t>Transporte equip. obra-gr.porte - 8 máquinas</t>
  </si>
  <si>
    <t>Tempo de deslocamento (ida e volta) de carreta prancha com equipamentos
(escav., carreg., rolo pé, rolo liso, rolo pneus, vibroacab., trator, vass., retroesc., tanque)</t>
  </si>
  <si>
    <t>A9311</t>
  </si>
  <si>
    <t>Transporte equip. obra-md.porte - 4 caminhões</t>
  </si>
  <si>
    <t>Tempo de deslocamento (ida e volta) de equipamento rodante
(comboio, 3 caminhões, camionete)</t>
  </si>
  <si>
    <t>6 meses</t>
  </si>
  <si>
    <t>1.4</t>
  </si>
  <si>
    <t>S-85424</t>
  </si>
  <si>
    <t xml:space="preserve">
Isolamento de obra com tela plástica com malha de 5mm e estrutura de madeira pontaleteada
</t>
  </si>
  <si>
    <t>estimativa</t>
  </si>
  <si>
    <t>S-78472</t>
  </si>
  <si>
    <t>Marcação de obra com levantamentos</t>
  </si>
  <si>
    <t>área de projeto (comp lot 01xgabarito lot 01)</t>
  </si>
  <si>
    <t>2.2</t>
  </si>
  <si>
    <t>S-74209/001</t>
  </si>
  <si>
    <t>placa de obra 1,5x2,0</t>
  </si>
  <si>
    <t xml:space="preserve"> duas placas </t>
  </si>
  <si>
    <t>2.3</t>
  </si>
  <si>
    <t>S-99063</t>
  </si>
  <si>
    <t>Locação de redes de águas pluviais</t>
  </si>
  <si>
    <t>M</t>
  </si>
  <si>
    <t>conforme projeto</t>
  </si>
  <si>
    <t>TERRAPLENAGEM</t>
  </si>
  <si>
    <t>S-89895</t>
  </si>
  <si>
    <t>Escavação de material de 1ª categoria-regula pista, solos moles, taludes  (carga, descarga e transporte dmt 7km)</t>
  </si>
  <si>
    <t>estimativa substituição[área estimada 1772,33 x0,35cm]+ volume de corte projeto 742m3: 620,32+742</t>
  </si>
  <si>
    <t>S-83344</t>
  </si>
  <si>
    <t>espalhamento de bota fora</t>
  </si>
  <si>
    <t>x empolamento 1,3</t>
  </si>
  <si>
    <t>S-96399</t>
  </si>
  <si>
    <t>Substituição de solos inadequados por material granular tipo pedra rachão, inclusive compactação</t>
  </si>
  <si>
    <t xml:space="preserve"> substituição por rachão na remoção de solos moles (área estimada 1772,33 x0,35cm)</t>
  </si>
  <si>
    <t>S-93589</t>
  </si>
  <si>
    <t xml:space="preserve">Transporte de rachão DMT 15 km, </t>
  </si>
  <si>
    <t>S-72844</t>
  </si>
  <si>
    <t>Carga, Manobras e Descarga de rachão</t>
  </si>
  <si>
    <t>S-74005/2+6077+93589</t>
  </si>
  <si>
    <t>Aterro com argila importada compactada (DMT 3km)</t>
  </si>
  <si>
    <t>projeto: 850,20 m3</t>
  </si>
  <si>
    <t>S-72961</t>
  </si>
  <si>
    <t>Regularização E Compactação mecânica do Subleito</t>
  </si>
  <si>
    <t>área de pavimentação</t>
  </si>
  <si>
    <t>CONTENÇÕES</t>
  </si>
  <si>
    <t>S-83336</t>
  </si>
  <si>
    <t>Escavação mecânica - gabiões</t>
  </si>
  <si>
    <t>4.2</t>
  </si>
  <si>
    <t>Remoção escavação gabiões - DMT 5 Km</t>
  </si>
  <si>
    <t>4.3</t>
  </si>
  <si>
    <t>Lastro de Rachão  p/ gabiões - excl. transp.</t>
  </si>
  <si>
    <t>4.4</t>
  </si>
  <si>
    <t>Transporte de Rachão - DMT 15 Km - gabiões</t>
  </si>
  <si>
    <t>4.5</t>
  </si>
  <si>
    <t>Carga, manobras e descarga de rachão</t>
  </si>
  <si>
    <t>4.6</t>
  </si>
  <si>
    <t>S-92743</t>
  </si>
  <si>
    <t>fornecimento e instalação de Gabiões gaiola + pedras h:2m</t>
  </si>
  <si>
    <t>4.7</t>
  </si>
  <si>
    <t>Transporte de Pedra p/gabiões- DMT 15 Km - gabiões</t>
  </si>
  <si>
    <t>4.8</t>
  </si>
  <si>
    <t>Carga, manobras e descarga de pedras p/ gabiões</t>
  </si>
  <si>
    <t>4.9</t>
  </si>
  <si>
    <t>S-73881/001</t>
  </si>
  <si>
    <t>Filtro geotêxtil OP - 200 gr/m2 - tipo bidim - gabiões</t>
  </si>
  <si>
    <t>DRENAGEM</t>
  </si>
  <si>
    <t>5.1</t>
  </si>
  <si>
    <t>S-90092</t>
  </si>
  <si>
    <t xml:space="preserve">Escavação mecanizada em vala pluvial mat 1ª categoria </t>
  </si>
  <si>
    <t>( 10 DN30x1,4)+( 71m DN40*1,4)+ (12m DN 60x2,5):</t>
  </si>
  <si>
    <t>5.2</t>
  </si>
  <si>
    <t>S-94112</t>
  </si>
  <si>
    <t xml:space="preserve">Lastro de brita com preparo de fundo de vala </t>
  </si>
  <si>
    <t>( 10 DN30x1x0,20)+( 71m DN40x1x0,2)+ (12m DN 60x1,2x0,2):</t>
  </si>
  <si>
    <t>5.3</t>
  </si>
  <si>
    <t>Transporte de brita para DMT15 km, com empolamento de f(%)=1,3</t>
  </si>
  <si>
    <t>empolamento 1,3</t>
  </si>
  <si>
    <t>5.4</t>
  </si>
  <si>
    <t>carga manobras e descarga de brita</t>
  </si>
  <si>
    <t>5.5</t>
  </si>
  <si>
    <t>S-93369</t>
  </si>
  <si>
    <t>Reaterro valas tubulação - material reaproveitado</t>
  </si>
  <si>
    <t>80% da escavação</t>
  </si>
  <si>
    <t>5.6</t>
  </si>
  <si>
    <t>transporte bota fora 5km</t>
  </si>
  <si>
    <t>20% da escavação mais 1,3 empolamento</t>
  </si>
  <si>
    <t>5.7</t>
  </si>
  <si>
    <t>S-7790</t>
  </si>
  <si>
    <t xml:space="preserve">Fornecimento de tubulação o 300mm PS2-PB </t>
  </si>
  <si>
    <t>5.8</t>
  </si>
  <si>
    <t>S-7785</t>
  </si>
  <si>
    <t xml:space="preserve">Fornecimento de tubulação o 400mm PS2-PB </t>
  </si>
  <si>
    <t>5.9</t>
  </si>
  <si>
    <t>S-7761</t>
  </si>
  <si>
    <t xml:space="preserve">Fornecimento de tubulação o 400mm PA2-PB </t>
  </si>
  <si>
    <t>5.10</t>
  </si>
  <si>
    <t>S-7793</t>
  </si>
  <si>
    <t>Fornecimento de tubulação o 600 mm -PS2 PB</t>
  </si>
  <si>
    <t>5.11</t>
  </si>
  <si>
    <t>S-7762</t>
  </si>
  <si>
    <t>Fornecimento de tubulação o 600 mm -PA2 PB</t>
  </si>
  <si>
    <t>5.12</t>
  </si>
  <si>
    <t>S-7763</t>
  </si>
  <si>
    <t>Fornecimento de tubulação o 800 mm -PA2 PB</t>
  </si>
  <si>
    <t>5.13</t>
  </si>
  <si>
    <t>S-92808</t>
  </si>
  <si>
    <t>Assentamento de tubulação o 300mm</t>
  </si>
  <si>
    <t>5.14</t>
  </si>
  <si>
    <t>S-92809</t>
  </si>
  <si>
    <t>Assentamento de tubulação o 400mm</t>
  </si>
  <si>
    <t>5.15</t>
  </si>
  <si>
    <t>S-92811</t>
  </si>
  <si>
    <t xml:space="preserve">Assentamento de tubulação o 600mm </t>
  </si>
  <si>
    <t>5.16</t>
  </si>
  <si>
    <t>S-92813</t>
  </si>
  <si>
    <t xml:space="preserve">Assentamento de tubulação o 800mm </t>
  </si>
  <si>
    <t>5.17</t>
  </si>
  <si>
    <t>S-83659</t>
  </si>
  <si>
    <t>Boca de lobo, alvenaria e tampa em concreto</t>
  </si>
  <si>
    <t>5.18</t>
  </si>
  <si>
    <t>auxiliar</t>
  </si>
  <si>
    <t>Poço de visita em alvenaria, para rede d=0,40 m (e: 15cm 80x80x120cm) PV-1</t>
  </si>
  <si>
    <t>5.19</t>
  </si>
  <si>
    <t>Poço de visita em alvenaria,para rede d=0,60 m (e: 25cm 1,5x1,5x/180cm) PV-2</t>
  </si>
  <si>
    <t>5.20</t>
  </si>
  <si>
    <t>Poço de visita em alvenaria,para rede d=0,80 m (e: 25cm 1,5x1,5x/230cm) PV-3</t>
  </si>
  <si>
    <t>S-73844/001</t>
  </si>
  <si>
    <t>Ala em pedra argamassada</t>
  </si>
  <si>
    <t>estimativa para as alas do córrego</t>
  </si>
  <si>
    <t>5.21</t>
  </si>
  <si>
    <t>Lastro de concreto para ala e: 20cm</t>
  </si>
  <si>
    <t>30*,2</t>
  </si>
  <si>
    <t>5.22</t>
  </si>
  <si>
    <t>S-94043</t>
  </si>
  <si>
    <t>escoramento de vala</t>
  </si>
  <si>
    <t>PAVIMENTAÇÃO</t>
  </si>
  <si>
    <t>6.1</t>
  </si>
  <si>
    <t>S-96400</t>
  </si>
  <si>
    <t>Sub base com macadame (e=20cm), exclusive transporte</t>
  </si>
  <si>
    <t>(área do greide da pista lote 01x0,20:(2503,96*0,20)</t>
  </si>
  <si>
    <t>6.2</t>
  </si>
  <si>
    <t xml:space="preserve">Transporte de macadame DMT 15 km, </t>
  </si>
  <si>
    <t>6.3</t>
  </si>
  <si>
    <t>Carga, Manobras e Descarga de BBG/macadame</t>
  </si>
  <si>
    <t>6.4</t>
  </si>
  <si>
    <t>S-73902/001</t>
  </si>
  <si>
    <t>Execução de camada de brita ante extrusiva (e=3 cm), exclusive transporte</t>
  </si>
  <si>
    <t>2503,96*0,03</t>
  </si>
  <si>
    <t>6.5</t>
  </si>
  <si>
    <t xml:space="preserve">Transporte de brita para DMT 15 km, </t>
  </si>
  <si>
    <t>2503,96*0,03*1,3</t>
  </si>
  <si>
    <t>6.6</t>
  </si>
  <si>
    <t>Carga, Manobras e Descarga de brita</t>
  </si>
  <si>
    <t>6.7</t>
  </si>
  <si>
    <t>S-96396</t>
  </si>
  <si>
    <t>Execução de base de brita graduada (e=15cm), exclusive transporte</t>
  </si>
  <si>
    <t>2503,96*0,15</t>
  </si>
  <si>
    <t>6.8</t>
  </si>
  <si>
    <t>Transporte de base de brita graduada para DMT 15 km</t>
  </si>
  <si>
    <t>6.9</t>
  </si>
  <si>
    <t>Carga, Manobras e Descarga de BBG/rachão</t>
  </si>
  <si>
    <t>6.10</t>
  </si>
  <si>
    <t>S-94273</t>
  </si>
  <si>
    <t>Execução de meio-fio pré-moldado (1,00x0,30x0,12x0,15), inclus. carga, transporte</t>
  </si>
  <si>
    <t>6.11</t>
  </si>
  <si>
    <t>S-96401</t>
  </si>
  <si>
    <t>Imprimação com CM-30, inclusive asfalto e transporte</t>
  </si>
  <si>
    <t>área da pista lot 01</t>
  </si>
  <si>
    <t>6.12</t>
  </si>
  <si>
    <t>S-72942</t>
  </si>
  <si>
    <t>Pintura de ligação com RR-1C, inclusive asfalto e transporte</t>
  </si>
  <si>
    <t>6.13</t>
  </si>
  <si>
    <t>S-95995*</t>
  </si>
  <si>
    <t>Concreto betuminoso usinado à quente (C.B.U.Q.), aquisição posto na usina, exclusive transporte (e= 5cm)</t>
  </si>
  <si>
    <t>área da pistax0,05</t>
  </si>
  <si>
    <t>6.14</t>
  </si>
  <si>
    <t>S-95303</t>
  </si>
  <si>
    <t>Transporte de CBUQ para DMT 15 km, peso espec.compact: 2,5t/m3</t>
  </si>
  <si>
    <t>6.15</t>
  </si>
  <si>
    <t>S-72891</t>
  </si>
  <si>
    <t>cargas manobra descarga cbuq</t>
  </si>
  <si>
    <t>PASSEIOS E CANTEIROS CENTRAIS</t>
  </si>
  <si>
    <t>7.1</t>
  </si>
  <si>
    <t>S-73948/016</t>
  </si>
  <si>
    <t>escavação/compactação manual do terreno com raspagem e regularização superficial (até 20cm)</t>
  </si>
  <si>
    <t>área dos passeios projeto :952,5</t>
  </si>
  <si>
    <t>7.2</t>
  </si>
  <si>
    <t xml:space="preserve">S-73844/1 </t>
  </si>
  <si>
    <t xml:space="preserve">Alvenaria tijoleta de grês 30 x 15 confinamento de passeio </t>
  </si>
  <si>
    <t>7.3</t>
  </si>
  <si>
    <t>S-92396</t>
  </si>
  <si>
    <t>Passeio de bloco de concreto espess. 6cm 35MPA (BLOCO+ PÓ DE BRITA+ REJUNTE +MÃO DE OBRA/EQUIPAMENTOS)</t>
  </si>
  <si>
    <t>área do passeio - podotátil (952,5-69,5)</t>
  </si>
  <si>
    <t>7.4</t>
  </si>
  <si>
    <t>mercado</t>
  </si>
  <si>
    <t>piso podo tátil direcional e alerta de concreto vibro prensado 20x20x6cm (vermelho)</t>
  </si>
  <si>
    <t>7.5</t>
  </si>
  <si>
    <t>S-98504</t>
  </si>
  <si>
    <t>enleivamento grama São Carlos 1ª qualidade com prepar de cancha.</t>
  </si>
  <si>
    <t>área dos canteiros centrais+ taludes (lote 01 e lot 02)</t>
  </si>
  <si>
    <t>SINALIZAÇÃO</t>
  </si>
  <si>
    <t>8.1</t>
  </si>
  <si>
    <t>S-72947</t>
  </si>
  <si>
    <t>Sinalização horizontal com tinta retrorefletivas a base de resina acrílica com microesferas de vidro</t>
  </si>
  <si>
    <t>conforme projeto: linha de eixo de pista: 35,30m2; travessia de pedestres: 92,6m2; linha de retenção: 12,2m2; legenda pare: 3,2m2</t>
  </si>
  <si>
    <t>8.2</t>
  </si>
  <si>
    <t>S-83693</t>
  </si>
  <si>
    <t>Pintura de meio fio com cal</t>
  </si>
  <si>
    <t>meio fio x 0,27 (625*,27)</t>
  </si>
  <si>
    <t>8.3</t>
  </si>
  <si>
    <t>Placa tipo  (parada obrigatória), inclusive suporte metálico 2 1/2" h= 2,20m, L =35 cm</t>
  </si>
  <si>
    <t>8.4</t>
  </si>
  <si>
    <t>Placa tipo  (passagem pedestres), inclusive suporte metálico 2 1/2" h= 2,20m,  L = 50 cm</t>
  </si>
  <si>
    <t>8.5</t>
  </si>
  <si>
    <t>Placa tipo(proibido estacionar/rotatória/velocidade), inclusive suporte metálico 2 1/2" h= 2,20m, L =50 cm</t>
  </si>
  <si>
    <t>8.6</t>
  </si>
  <si>
    <t>74209/001</t>
  </si>
  <si>
    <t>Placa de indicação de lugares, (dimensões: 1,00 x 2,00m)</t>
  </si>
  <si>
    <t xml:space="preserve"> (modelo será definido pela dep de trânsito)</t>
  </si>
  <si>
    <t>8.7</t>
  </si>
  <si>
    <t>73916/02+DAER 7321</t>
  </si>
  <si>
    <t>placa indicação nome de rua 25x45cm com baliza 2" 3 m</t>
  </si>
  <si>
    <t>8.8</t>
  </si>
  <si>
    <t>SICRO 3713600</t>
  </si>
  <si>
    <t>defensa maleável simples com ancoragem - fornecimento e implantação</t>
  </si>
  <si>
    <t>20 metros em cada cabeceira</t>
  </si>
  <si>
    <t>SERVIÇOS COMPLEMENTARES</t>
  </si>
  <si>
    <t>9.1</t>
  </si>
  <si>
    <t>levantamento final de obra as built</t>
  </si>
  <si>
    <t>área de projeto lot 01+ lot 02</t>
  </si>
  <si>
    <t>9.2</t>
  </si>
  <si>
    <t>S-73900/12*</t>
  </si>
  <si>
    <t>Ensaios tecnológicos CBUQ (amostra cada 100m) com mobilização equipe sondagem</t>
  </si>
  <si>
    <t>4 amostras em cada pista</t>
  </si>
  <si>
    <t>PLANILHA DE ORÇAMENTO LOTE 01</t>
  </si>
  <si>
    <t>Item</t>
  </si>
  <si>
    <t>REFERÊNCIA SINAPI</t>
  </si>
  <si>
    <t>Descrição dos Serviços</t>
  </si>
  <si>
    <t>Unid.</t>
  </si>
  <si>
    <t>Quant.</t>
  </si>
  <si>
    <t>Preço Unitário</t>
  </si>
  <si>
    <t>custo</t>
  </si>
  <si>
    <t>preço</t>
  </si>
  <si>
    <t>total geral</t>
  </si>
  <si>
    <t>mat</t>
  </si>
  <si>
    <t>mo</t>
  </si>
  <si>
    <t>total</t>
  </si>
  <si>
    <t>E9666 Cavalo mecânico com semirreboque com capacidade de 30 t - 240 kW</t>
  </si>
  <si>
    <t>A9311 Caminhão plataforma 6 x 2, PBT 24.100 kg e distância entre eixos 4,8 m - 188 kW -</t>
  </si>
  <si>
    <t>00010775 LOCACAO DE CONTAINER 2,30 X 6,00 M, ALT. 2,50 M, COM 1 SANITARIO, PARA ESCRITORIO, MES 520,00
COMPLETO, SEM DIVISORIAS INTERNAS</t>
  </si>
  <si>
    <t>85424 ISOLAMENTO DE OBRA COM TELA PLASTICA COM MALHA DE 5MM E ESTRUTURA DE M M2 CR 18,98
ADEIRA PONTALETEADA</t>
  </si>
  <si>
    <t>78472 SERVICOS TOPOGRAFICOS PARA PAVIMENTACAO, INCLUSIVE NOTA DE SERVICOS, A M2 CR 0,38
COMPANHAMENTO E GREIDE</t>
  </si>
  <si>
    <t>74209/001 PLACA DE OBRA EM CHAPA DE ACO GALVANIZADO M2 CR 231,59</t>
  </si>
  <si>
    <t>99063 LOCAÇÃO DE REDE DE ÁGUA OU ESGOTO. AF_10/2018 M CR 3,09</t>
  </si>
  <si>
    <t>89895 ESCAVAÇÃO VERTICAL A CÉU ABERTO, INCLUINDO CARGA, DESCARGA E TRANSPORT M3 CR 19,26
E, EM SOLO DE 1ª CATEGORIA COM ESCAVADEIRA HIDRÁULICA (CAÇAMBA: 0,8 M³
/ 111 HP), FROTA DE 7 CAMINHÕES BASCULANTES DE 14 M³, DMT DE 6 KM E V
ELOCIDADE MÉDIA 22 KM/H. AF_12/2013</t>
  </si>
  <si>
    <t>83344 ESPALHAMENTO DE MATERIAL EM BOTA FORA, COM UTILIZACAO DE TRATOR DE EST M3 CR 0,92</t>
  </si>
  <si>
    <t>96399 EXECUÇÃO E COMPACTAÇÃO DE BASE E OU SUB BASE COM PEDRA RACHÃO - EXCLUS M3 CR 67,02
IVE ESCAVAÇÃO, CARGA E TRANSPORTE. AF_09/2017</t>
  </si>
  <si>
    <t>93589 TRANSPORTE COM CAMINHÃO BASCULANTE DE 10 M3, EM VIA URBANA EM REVESTIM M3XKM CR 1,19
ENTO PRIMÁRIO (UNIDADE: M3XKM). AF_04/2016</t>
  </si>
  <si>
    <t>72844 CARGA, MANOBRAS E DESCARGA DE AREIA, BRITA, PEDRA DE MAO E SOLOS COM C T CR 0,77
AMINHAO BASCULANTE 6 M3 (DESCARGA LIVRE)</t>
  </si>
  <si>
    <t>74005/002 COMPACTACAO MECANICA C/ CONTROLE DO GC&gt;=95% DO PN (AREAS) (C/MONIVELAD M3 AS 5,24
ORA 140 HP E ROLO COMPRESSOR VIBRATORIO 80 HP)///00006077 ARGILA OU BARRO PARA ATERRO/REATERRO (RETIRADO NA JAZIDA, SEM TRANSPORTE) M3 CR 15,30////93589 TRANSPORTE COM CAMINHÃO BASCULANTE DE 10 M3, EM VIA URBANA EM REVESTIM M3XKM CR 1,19
ENTO PRIMÁRIO (UNIDADE: M3XKM). AF_04/2016</t>
  </si>
  <si>
    <t>72961 REGULARIZACAO E COMPACTACAO DE SUBLEITO ATE 20 CM DE ESPESSURA M2 AS 1,27</t>
  </si>
  <si>
    <t>83336 ESCAVACAO MECANICA PARA ACERTO DE TALUDES, EM MATERIAL DE 1A CATEGORIA M3 CR 4,39</t>
  </si>
  <si>
    <t>92743 MURO DE GABIÃO, ENCHIMENTO COM PEDRA DE MÃO TIPO RACHÃO, DE GRAVIDADE, M3 AS 480,84
COM GAIOLAS DE COMPRIMENTO IGUAL A 2 M, PARA MUROS COM ALTURA MENOR O
U IGUAL A 4 M FORNECIMENTO E EXECUÇÃO. AF_12/2015</t>
  </si>
  <si>
    <t>73881/001 EXECUCAO DE DRENO COM MANTA GEOTEXTIL 200 G/M2 M2 CR 4,27</t>
  </si>
  <si>
    <t>90092 ESCAVAÇÃO MECANIZADA DE VALA COM PROF. MAIOR QUE 1,5 M E ATÉ 3,0 M(MÉD M3 CR 4,84
IA ENTRE MONTANTE E JUSANTE/UMA COMPOSIÇÃO POR TRECHO), COM ESCAVADEIR
A HIDRÁULICA (0,8 M3/111 HP), LARG. MENOR QUE 1,5 M, EM SOLO DE 1A CAT
EGORIA, LOCAIS COM BAIXO NÍVEL DE INTERFERÊNCIA. AF_01/2015</t>
  </si>
  <si>
    <t>94112 LASTRO DE VALA COM PREPARO DE FUNDO, LARGURA MENOR QUE 1,5 M, COM CAMA M3 CR 146,46
DA DE BRITA, LANÇAMENTO MECANIZADO, EM LOCAL COM NÍVEL BAIXO DE INTERF
ERÊNCIA. AF_06/2016</t>
  </si>
  <si>
    <t>93369 REATERRO MECANIZADO DE VALA COM ESCAVADEIRA HIDRÁULICA (CAPACIDADE DA M3 AS 8,08
CAÇAMBA: 0,8 M³ / POTÊNCIA: 111 HP), LARGURA DE 1,5 A 2,5 M, PROFUNDID
ADE DE 1,5 A 3,0 M, COM SOLO (SEM SUBSTITUIÇÃO) DE 1ª CATEGORIA EM LOC
AIS COM BAIXO NÍVEL DE INTERFERÊNCIA. AF_04/2016</t>
  </si>
  <si>
    <t>00007790 TUBO DE CONCRETO SIMPLES, CLASSE- PS2, PB, DN 300 MM, PARA AGUAS PLUVIAIS (NBR M 30,75
8890)</t>
  </si>
  <si>
    <t>00007785 TUBO DE CONCRETO SIMPLES, CLASSE- PS2, PB, DN 400 MM, PARA AGUAS PLUVIAIS (NBR M 40,36
8890)</t>
  </si>
  <si>
    <t>00007761 TUBO CONCRETO ARMADO, CLASSE PA-2, PB, DN 400 MM, PARA AGUAS PLUVIAIS (NBR 8890) M CR 74,11</t>
  </si>
  <si>
    <t>00007793 TUBO DE CONCRETO SIMPLES, CLASSE- PS2, PB, DN 600 MM, PARA AGUAS PLUVIAIS (NBR M 75,65
8890)</t>
  </si>
  <si>
    <t>00007762 TUBO CONCRETO ARMADO, CLASSE PA-2, PB, DN 600 MM, PARA AGUAS PLUVIAIS (NBR 8890) M CR 117,45</t>
  </si>
  <si>
    <t>00007763 TUBO CONCRETO ARMADO, CLASSE PA-2, PB, DN 800 MM, PARA AGUAS PLUVIAIS (NBR 8890) M CR 201,84</t>
  </si>
  <si>
    <t>92808 ASSENTAMENTO DE TUBO DE CONCRETO PARA REDES COLETORAS DE ÁGUAS PLUVIAI M CR 30,11
S, DIÂMETRO DE 300 MM, JUNTA RÍGIDA, INSTALADO EM LOCAL COM BAIXO NÍVE
L DE INTERFERÊNCIAS (NÃO INCLUI FORNECIMENTO). AF_12/2015</t>
  </si>
  <si>
    <t>92809 ASSENTAMENTO DE TUBO DE CONCRETO PARA REDES COLETORAS DE ÁGUAS PLUVIAI M CR 38,60
S, DIÂMETRO DE 400 MM, JUNTA RÍGIDA, INSTALADO EM LOCAL COM BAIXO NÍVE
L DE INTERFERÊNCIAS (NÃO INCLUI FORNECIMENTO). AF_12/2015</t>
  </si>
  <si>
    <t>92811 ASSENTAMENTO DE TUBO DE CONCRETO PARA REDES COLETORAS DE ÁGUAS PLUVIAI M CR 55,95
S, DIÂMETRO DE 600 MM, JUNTA RÍGIDA, INSTALADO EM LOCAL COM BAIXO NÍVE
L DE INTERFERÊNCIAS (NÃO INCLUI FORNECIMENTO). AF_12/2015</t>
  </si>
  <si>
    <t>92813 ASSENTAMENTO DE TUBO DE CONCRETO PARA REDES COLETORAS DE ÁGUAS PLUVIAI M CR 75,09
S, DIÂMETRO DE 800 MM, JUNTA RÍGIDA, INSTALADO EM LOCAL COM BAIXO NÍVE
L DE INTERFERÊNCIAS (NÃO INCLUI FORNECIMENTO). AF_12/2015</t>
  </si>
  <si>
    <t>83659 BOCA DE LOBO EM ALVENARIA TIJOLO MACICO, REVESTIDA C/ ARGAMASSA DE CIM UN CR 727,26
ENTO E AREIA 1:3, SOBRE LASTRO DE CONCRETO 10CM E TAMPA DE CONCRETO AR
MADO</t>
  </si>
  <si>
    <t>AUXILIAR</t>
  </si>
  <si>
    <t>73844/001 MURO DE ARRIMO DE ALVENARIA DE PEDRA ARGAMASSADA M3 AS 477,31</t>
  </si>
  <si>
    <t>CONCRETO FCK = 25MPA, TRAÇO 1:2,3:2,7 (CIMENTO/ AREIA MÉDIA/ BRITA 1) M3 CR 343,05
- PREPARO MECÂNICO COM BETONEIRA 400 L. AF_07/2016</t>
  </si>
  <si>
    <t>ESCORAMENTO DE VALA, TIPO PONTALETEAMENTO, COM PROFUNDIDADE DE 0 A 1,5 M2 CR 15,19</t>
  </si>
  <si>
    <t>96400 EXECUÇÃO E COMPACTAÇÃO DE BASE E OU SUB BASE COM MACADAME SECO - EXCLU M3 AS 73,87
SIVE ESCAVAÇÃO, CARGA E TRANSPORTE. AF_09/2017</t>
  </si>
  <si>
    <t>73902/001 CAMADA DRENANTE COM BRITA NUM 3 M3 CR 88,77</t>
  </si>
  <si>
    <t>96396 EXECUÇÃO E COMPACTAÇÃO DE BASE E OU SUB BASE COM BRITA GRADUADA SIMPLE M3 AS 82,26
S - EXCLUSIVE CARGA E TRANSPORTE. AF_09/2017</t>
  </si>
  <si>
    <t>94273 ASSENTAMENTO DE GUIA (MEIO-FIO) EM TRECHO RETO, CONFECCIONADA EM CONCR M CR 35,93
ETO PRÉ-FABRICADO, DIMENSÕES 100X15X13X30 CM (COMPRIMENTO X BASE INFER
IOR X BASE SUPERIOR X ALTURA), PARA VIAS URBANAS (USO VIÁRIO). AF_06/2
016</t>
  </si>
  <si>
    <t>96401 EXECUÇÃO DE IMPRIMAÇÃO COM ASFALTO DILUÍDO CM-30. AF_09/2017 M2 AS 6,51</t>
  </si>
  <si>
    <t>72942 PINTURA DE LIGACAO COM EMULSAO RR-1C M2 AS 1,78</t>
  </si>
  <si>
    <t>*COMPO AUXILIAR</t>
  </si>
  <si>
    <t>95303 TRANSPORTE COM CAMINHÃO BASCULANTE 10 M3 DE MASSA ASFALTICA PARA PAVIM M3XKM CR 1,00
ENTAÇÃO URBANA</t>
  </si>
  <si>
    <t>72891 CARGA, MANOBRAS E DESCARGA DE MISTURA BETUMINOSA A QUENTE, COM CAMINHA M3 CR 5,73
O BASCULANTE 6 M3, DESCARGA EM VIBRO-ACABADORA</t>
  </si>
  <si>
    <t>73948/016 LIMPEZA MANUAL DO TERRENO (C/ RASPAGEM SUPERFICIAL) M2 CR 3,92</t>
  </si>
  <si>
    <t>73844/001 MURO DE ARRIMO DE ALVENARIA DE PEDRA ARGAMASSADA M3 CR 477,74</t>
  </si>
  <si>
    <t>92396 EXECUÇÃO DE PASSEIO EM PISO INTERTRAVADO, COM BLOCO RETANGULAR COR NAT M2 CR 48,89
URAL DE 20 X 10 CM, ESPESSURA 6 CM. AF_12/2015</t>
  </si>
  <si>
    <t>MERCADO</t>
  </si>
  <si>
    <t>98504 PLANTIO DE GRAMA EM PLACAS. AF_05/2018 M2 CR 13,50</t>
  </si>
  <si>
    <t xml:space="preserve"> </t>
  </si>
  <si>
    <t>72947 SINALIZACAO HORIZONTAL COM TINTA RETRORREFLETIVA A BASE DE RESINA ACRI M2 AS 25,70
LICA COM MICROESFERAS DE VIDRO</t>
  </si>
  <si>
    <t>83693 CAIACAO EM MEIO FIO M2 CR 3,10</t>
  </si>
  <si>
    <t>73916/002 PLACA ESMALTADA PARA IDENTIFICAÇÃO NR DE RUA, DIMENSÕES 45X25CM UN CR 59,96//Suporte e travessa placa tubo galvanizado 2" barra 3m 217</t>
  </si>
  <si>
    <t>3713600 Defensa maleável simples - fornecimento e implantação</t>
  </si>
  <si>
    <t>SINAPI- 03/2019- SICRO 10/2018-DAER 5/2017</t>
  </si>
  <si>
    <t>* composição auxiliar</t>
  </si>
  <si>
    <t>**referência sinapi desonerado 05/2018</t>
  </si>
  <si>
    <t>encargos sociais 83,74%/ BDI 25,60%</t>
  </si>
  <si>
    <t>RESPONSÁVEL TÉCNICO: ENG DIEGO J STRACK RS 183848</t>
  </si>
  <si>
    <t>79472 REGULARIZACAO DE SUPERFICIES EM TERRA COM MOTONIVELADORA M2 AS 0,45</t>
  </si>
  <si>
    <t>79473 CORTE E ATERRO COMPENSADO M3 AS 5,37</t>
  </si>
  <si>
    <t>83336 ESCAVACAO MECANICA PARA ACERTO DE TALUDES, EM MATERIAL DE 1A CATEGORIA M3 CR 4,43, COM ESCAVADEIRA HIDRAULICA</t>
  </si>
  <si>
    <t>83338 ESCAVACAO MECANICA, A CEU ABERTO, EM MATERIAL DE 1A CATEGORIA, COM ESC M3 CR 2,48 AVADEIRA HIDRAULICA, CAPACIDADE DE 0,78 M3</t>
  </si>
  <si>
    <t>74034/001 ESPALHAMENTO DE MATERIAL DE 1A CATEGORIA COM TRATOR DE ESTEIRA COM 153 M3 AS 1,68 HP</t>
  </si>
  <si>
    <t>95606 UMIDIFICAÇÃO DE MATERIAL PARA VALAS COM CAMINHÃO PIPA 10000L. AF_11/20 M3 AS 1,26</t>
  </si>
  <si>
    <t>6514 FORNECIMENTO E LANCAMENTO DE BRITA N. 4 M3 CR 83,02</t>
  </si>
  <si>
    <t>93589 TRANSPORTE COM CAMINHÃO BASCULANTE DE 10 M3, EM VIA URBANA EM REVESTIMENTO PRIMÁRIO (UNIDADE: M3XKM). AF_04/2016 M3XKM CR 1,21</t>
  </si>
  <si>
    <t>93592 TRANSPORTE COM CAMINHÃO BASCULANTE DE 14 M3, EM VIA URBANA EM REVESTIMENTO PRIMÁRIO (UNIDADE: M3XKM). AF_04/2016 M3XKM CR 1,09</t>
  </si>
  <si>
    <t>96385 EXECUÇÃO E COMPACTAÇÃO DE ATERRO COM SOLO PREDOMINANTEMENTE ARGILOSO EXCLUSIVE ESCAVAÇÃO, CARGA E TRANSPORTE E SOLO. AF_09/2017- M3 AS 5,52</t>
  </si>
  <si>
    <t>72961 REGULARIZACAO E COMPACTACAO DE SUBLEITO ATE 20 CM DE ESPESSURA M2 AS 1,31</t>
  </si>
  <si>
    <t>96399 EXECUÇÃO E COMPACTAÇÃO DE BASE E OU SUB BASE COM PEDRA RACHÃO - EXCLUSIVE ESCAVAÇÃO, CARGA E TRANSPORTE. AF_09/2017 M3 CR 67,05</t>
  </si>
  <si>
    <t>96400 EXECUÇÃO E COMPACTAÇÃO DE BASE E OU SUB BASE COM MACADAME SECO - EXCLUSIVE ESCAVAÇÃO, CARGA E TRANSPORTE. AF_09/2017 M3 AS 73,96</t>
  </si>
  <si>
    <t>96396 EXECUÇÃO E COMPACTAÇÃO DE BASE E OU SUB BASE COM BRITA GRADUADA SIMPLES - EXCLUSIVE CARGA E TRANSPORTE. AF_09/2017 M3 AS 82,42</t>
  </si>
  <si>
    <t>96386 EXECUÇÃO E COMPACTAÇÃO DE ATERRO COM SOLO PREDOMINANTEMENTE ARENOSO -EXCLUSIVE ESCAVAÇÃO, CARGA E TRANSPORTE E SOLO. AF_09/2017 M3 AS 5,29</t>
  </si>
  <si>
    <t>98504 PLANTIO DE GRAMA EM PLACAS. AF_05/2018 M2 CR 13,51</t>
  </si>
  <si>
    <t>01 - OBJETO:  Fornecimento de material, mão de obra, equipamentos e responsabilidade técnica na repavimentação asfáltica, ampliação de sistema de drenagem e sinalização viária em trecho da Av Dos Municípios (entre Av Presidente Vargas e rua Tomé Paz) no Município de Campo Bom</t>
  </si>
  <si>
    <t>COMPOSIÇÕES AUXILIARES</t>
  </si>
  <si>
    <t>COMPOSIÇÃO AUXILIAR 02  - USINAGEM DE CBUQ COM CAP 50/70  PARA CAPA DE ROLAMENTO</t>
  </si>
  <si>
    <t>CLASSE/TIPO</t>
  </si>
  <si>
    <t>CÓDIGOS</t>
  </si>
  <si>
    <t>DESCRIÇÃO</t>
  </si>
  <si>
    <t>UNIDADE</t>
  </si>
  <si>
    <t>COEF.</t>
  </si>
  <si>
    <t>CUSTO UNIT.</t>
  </si>
  <si>
    <t>CUSTO TOTAL</t>
  </si>
  <si>
    <t>PAVI</t>
  </si>
  <si>
    <t>USINAGEM DE CONCRETO ASFÁLTICO COM CAP 50/70, PARA CAMADA DE ROLAMENTO, PADRÃO DNIT FAIXA C, EM USINA DE ASFALTO CONTÍNUA DE 80 TON/H. AF_03/2020</t>
  </si>
  <si>
    <t>T</t>
  </si>
  <si>
    <t>INSUMO</t>
  </si>
  <si>
    <t>AREIA MEDIA - POSTO JAZIDA/FORNECEDOR (RETIRADO NA JAZIDA, SEM TRANSPORTE)</t>
  </si>
  <si>
    <t>0,3248000</t>
  </si>
  <si>
    <t>1106</t>
  </si>
  <si>
    <t>CAL HIDRATADA CH-I PARA ARGAMASSAS</t>
  </si>
  <si>
    <t>KG</t>
  </si>
  <si>
    <t>56,2000000</t>
  </si>
  <si>
    <t>PEDRA BRITADA N. 0, OU PEDRISCO (4,8 A 9,5 MM) POSTO PEDREIRA/FORNECEDOR, SEM FRETE</t>
  </si>
  <si>
    <t>0,1998000</t>
  </si>
  <si>
    <t>4721</t>
  </si>
  <si>
    <t>PEDRA BRITADA N. 1 (9,5 a 19 MM) POSTO PEDREIRA/FORNECEDOR, SEM FRETE</t>
  </si>
  <si>
    <t>0,0625000</t>
  </si>
  <si>
    <t>COMPOSICAO</t>
  </si>
  <si>
    <t>5940</t>
  </si>
  <si>
    <t>PÁ CARREGADEIRA SOBRE RODAS, POTÊNCIA LÍQUIDA 128 HP, CAPACIDADE DA CAÇAMBA 1,7 A 2,8 M3, PESO OPERACIONAL 11632 KG - CHP DIURNO. AF_06/2014</t>
  </si>
  <si>
    <t>CHP</t>
  </si>
  <si>
    <t>0,0048000</t>
  </si>
  <si>
    <t>PÁ CARREGADEIRA SOBRE RODAS, POTÊNCIA LÍQUIDA 128 HP, CAPACIDADE DA CAÇAMBA 1,7 A 2,8 M3, PESO OPERACIONAL 11632 KG - CHI DIURNO. AF_06/2014</t>
  </si>
  <si>
    <t>CHI</t>
  </si>
  <si>
    <t>0,0179000</t>
  </si>
  <si>
    <t>TANQUE DE ASFALTO ESTACIONÁRIO COM SERPENTINA, CAPACIDADE 30.000 L - CHP DIURNO. AF_06/2014</t>
  </si>
  <si>
    <t>0,0455000</t>
  </si>
  <si>
    <t>COLETA NA ANP</t>
  </si>
  <si>
    <t>CIMENTO ASFALTICO DE PETROLEO A GRANEL (CAP) 50/70 (COLETADO CAIXA NA ANP ACRESCIDO DE ICMS)</t>
  </si>
  <si>
    <t>0,0632300</t>
  </si>
  <si>
    <t>88316</t>
  </si>
  <si>
    <t>SERVENTE COM ENCARGOS COMPLEMENTARES</t>
  </si>
  <si>
    <t>90776</t>
  </si>
  <si>
    <t>ENCARREGADO GERAL COM ENCARGOS COMPLEMENTARES</t>
  </si>
  <si>
    <t>0,0227000</t>
  </si>
  <si>
    <t>USINA DE MISTURA ASFÁLTICA À QUENTE, TIPO CONTRA FLUXO, PROD 40 A 80 TON/HORA - CHP DIURNO. AF_03/2016</t>
  </si>
  <si>
    <t>0,0176000</t>
  </si>
  <si>
    <t>USINA DE MISTURA ASFÁLTICA À QUENTE, TIPO CONTRA FLUXO, PROD 40 A 80 TON/HORA - CHI DIURNO. AF_03/2016</t>
  </si>
  <si>
    <t>0,0051000</t>
  </si>
  <si>
    <t>GRUPO GERADOR COM CARENAGEM, MOTOR DIESEL POTÊNCIA STANDART ENTRE 250 E 260 KVA - CHP DIURNO. AF_12/2016</t>
  </si>
  <si>
    <t>95873</t>
  </si>
  <si>
    <t>GRUPO GERADOR COM CARENAGEM, MOTOR DIESEL POTÊNCIA STANDART ENTRE 250 E 260 KVA - CHI DIURNO. AF_12/2016</t>
  </si>
  <si>
    <t>OBSERVAÇÃO:</t>
  </si>
  <si>
    <t>PARA CIMENTO ASFÁLTICO DE PETRÓLEO A GRANEL (CAP 50/70) FOI COLETADO NA ANP MÊS 06/2023 E APLICADO ICMS</t>
  </si>
  <si>
    <t xml:space="preserve">COMPOSIÇÃO 01 - CONSTRUÇÃO DE CAPA DE ROLAMENTO COM CBUQ </t>
  </si>
  <si>
    <t>EXECUÇÃO DE PAVIMENTO COM APLICAÇÃO DE CONCRETO ASFÁLTICO, CAMADA DE ROLAMENTO - EXCLUSIVE CARGA E TRANSPORTE. AF_11/2019</t>
  </si>
  <si>
    <t>CONCRETO BETUMINOSO USINADO A QUENTE (CBUQ) PARA PAVIMENTAÇÃO ASFÁLTICA, PADRÃO DNIT, FAIXA C, COM CAP 50/70 - AQUISIÇÃO POSTO USINA</t>
  </si>
  <si>
    <t>COMPOSIÇÃO</t>
  </si>
  <si>
    <t>Auxiliar 02</t>
  </si>
  <si>
    <t xml:space="preserve">USINAGEM DE CBUQ COM CAP 50/70, PARA CAPA DE ROLAMENTO </t>
  </si>
  <si>
    <t>5835</t>
  </si>
  <si>
    <t>VIBROACABADORA DE ASFALTO SOBRE ESTEIRAS, LARGURA DE PAVIMENTAÇÃO 1,90 M A 5,30 M, POTÊNCIA 105 HP CAPACIDADE 450 T/H - CHP DIURNO. AF_11/2014</t>
  </si>
  <si>
    <t>0,0464000</t>
  </si>
  <si>
    <t>5837</t>
  </si>
  <si>
    <t>VIBROACABADORA DE ASFALTO SOBRE ESTEIRAS, LARGURA DE PAVIMENTAÇÃO 1,90 M A 5,30 M, POTÊNCIA 105 HP CAPACIDADE 450 T/H - CHI DIURNO. AF_11/2014</t>
  </si>
  <si>
    <t>0,0949000</t>
  </si>
  <si>
    <t>RASTELEIRO COM ENCARGOS COMPLEMENTARES</t>
  </si>
  <si>
    <t>1,1301000</t>
  </si>
  <si>
    <t>CAMINHÃO BASCULANTE 10 M3, TRUCADO CABINE SIMPLES, PESO BRUTO TOTAL 23.000 KG, CARGA ÚTIL MÁXIMA 15.935 KG, DISTÂNCIA ENTRE EIXOS 4,80 M, POTÊNCIA 230 CV INCLUSIVE CAÇAMBA METÁLICA - CHP DIURNO. AF_06/2014</t>
  </si>
  <si>
    <t>95631</t>
  </si>
  <si>
    <t>ROLO COMPACTADOR VIBRATORIO TANDEM, ACO LISO, POTENCIA 125 HP, PESO SEM/COM LASTRO 10,20/11,65 T, LARGURA DE TRABALHO 1,73 M - CHP DIURNO. AF_11/2016</t>
  </si>
  <si>
    <t>0,0805000</t>
  </si>
  <si>
    <t>95632</t>
  </si>
  <si>
    <t>ROLO COMPACTADOR VIBRATORIO TANDEM, ACO LISO, POTENCIA 125 HP, PESO SEM/COM LASTRO 10,20/11,65 T, LARGURA DE TRABALHO 1,73 M - CHI DIURNO. AF_11/2016</t>
  </si>
  <si>
    <t>0,0607000</t>
  </si>
  <si>
    <t>96155</t>
  </si>
  <si>
    <t>TRATOR DE PNEUS COM POTÊNCIA DE 85 CV, TRAÇÃO 4X4, COM VASSOURA MECÂNICA ACOPLADA - CHI DIURNO. AF_02/2017</t>
  </si>
  <si>
    <t>0,1071000</t>
  </si>
  <si>
    <t>96157</t>
  </si>
  <si>
    <t>TRATOR DE PNEUS COM POTÊNCIA DE 85 CV, TRAÇÃO 4X4, COM VASSOURA MECÂNICA ACOPLADA - CHP DIURNO. AF_03/2017</t>
  </si>
  <si>
    <t>0,0341000</t>
  </si>
  <si>
    <t>96463</t>
  </si>
  <si>
    <t>ROLO COMPACTADOR DE PNEUS, ESTATICO, PRESSAO VARIAVEL, POTENCIA 110 HP, PESO SEM/COM LASTRO 10,8/27 T, LARGURA DE ROLAGEM 2,30 M - CHP DIURNO. AF_06/2017</t>
  </si>
  <si>
    <t>0,0419000</t>
  </si>
  <si>
    <t>96464</t>
  </si>
  <si>
    <t>ROLO COMPACTADOR DE PNEUS, ESTATICO, PRESSAO VARIAVEL, POTENCIA 110 HP, PESO SEM/COM LASTRO 10,8/27 T, LARGURA DE ROLAGEM 2,30 M - CHI DIURNO. AF_06/2017</t>
  </si>
  <si>
    <t>0,0990000</t>
  </si>
  <si>
    <t>PARA CIMENTO ASFÁLTICO DE PETRÓLEO A GRANEL (CAP 50/70) FOI COLETADO NA ANP MÊS  E APLICADO ICMS</t>
  </si>
  <si>
    <t>UTILIZADO TABELA SINAPI  DESONERADA -06/2023</t>
  </si>
  <si>
    <t>COMPOSIÇÃO 03 - SINALIZAÇÃO COM FITA FIXADA EM CONE PLÁSTICO, INCLUINDO CONE</t>
  </si>
  <si>
    <t>97053*</t>
  </si>
  <si>
    <t>SINALIZAÇÃO COM FITA FIXADA EM CONE PLÁSTICO, INCLUINDO CONE. AF_11/2017</t>
  </si>
  <si>
    <t>CONE DE SINALIZACAO EM PVC FLEXIVEL, H = 70 / 76 CM (NBR 15071)</t>
  </si>
  <si>
    <t>UN</t>
  </si>
  <si>
    <t>0,0219000</t>
  </si>
  <si>
    <t>M0054</t>
  </si>
  <si>
    <t>Fita zebrada de cor laranja e branca - L = 7 a 8 cm</t>
  </si>
  <si>
    <t>1,1000000</t>
  </si>
  <si>
    <t>AJUDANTE DE CARPINTEIRO COM ENCARGOS COMPLEMENTARES</t>
  </si>
  <si>
    <t>0,1088000</t>
  </si>
  <si>
    <t>CARPINTEIRO DE FORMAS COM ENCARGOS COMPLEMENTARES</t>
  </si>
  <si>
    <t>0,1384000</t>
  </si>
  <si>
    <t>*COMPOSIÇÃO ATUALIZADA PELA COMPOSIÇÃO AUXILIAR</t>
  </si>
  <si>
    <t>COMPOSIÇÃO 04 - PLACA DE OBRA EM CHAPA DE ACO GALVANIZADO</t>
  </si>
  <si>
    <t>PLACA DE OBRA EM CHAPA DE ACO GALVANIZADO</t>
  </si>
  <si>
    <t>ORIGEM</t>
  </si>
  <si>
    <t>CÓDIGO</t>
  </si>
  <si>
    <t>INSUMO / COMPOSIÇÃO</t>
  </si>
  <si>
    <t>COEFICIENTE</t>
  </si>
  <si>
    <t>4417</t>
  </si>
  <si>
    <t>SARRAFO DE MADEIRA NAO APARELHADA *2,5 X 7* CM, MACARANDUBA, ANGELIM OU EQUIVALENTE DA REGIAO</t>
  </si>
  <si>
    <t>1,0000000</t>
  </si>
  <si>
    <t>4491</t>
  </si>
  <si>
    <t>PONTALETE DE MADEIRA NAO APARELHADA *7,5 X 7,5* CM (3 X 3 ") PINUS, MISTA OU EQUIVALENTE DA REGIAO</t>
  </si>
  <si>
    <t>4,0000000</t>
  </si>
  <si>
    <t>4813</t>
  </si>
  <si>
    <t>PLACA DE OBRA (PARA CONSTRUCAO CIVIL) EM CHAPA GALVANIZADA *N. 22*, ADESIVADA, DE *2,0 X 1,125* M</t>
  </si>
  <si>
    <t>5075</t>
  </si>
  <si>
    <t>PREGO DE ACO POLIDO COM CABECA 18 X 30 (2 3/4 X 10)</t>
  </si>
  <si>
    <t>0,1100000</t>
  </si>
  <si>
    <t>88262</t>
  </si>
  <si>
    <t>2,0000000</t>
  </si>
  <si>
    <t>94962</t>
  </si>
  <si>
    <t>CONCRETO MAGRO PARA LASTRO, TRAÇO 1:4,5:4,5 (CIMENTO/ AREIA MÉDIA/ BRITA 1)  - PREPARO MECÂNICO COM BETONEIRA 400 L. AF_07/2016</t>
  </si>
  <si>
    <t>0,0100000</t>
  </si>
  <si>
    <t>COMPOSIÇÃO 05 -EXECUÇÃO DE IMPRIMAÇÃO COM ASFALTO DILUÍDO CM-30.</t>
  </si>
  <si>
    <t>03.PAVI.BASE.107/01</t>
  </si>
  <si>
    <t>96401*</t>
  </si>
  <si>
    <t>EXECUÇÃO DE IMPRIMAÇÃO COM ASFALTO DILUÍDO CM-30. AF_11/2019</t>
  </si>
  <si>
    <t>5839</t>
  </si>
  <si>
    <t>VASSOURA MECÂNICA REBOCÁVEL COM ESCOVA CILÍNDRICA, LARGURA ÚTIL DE VARRIMENTO DE 2,44 M - CHP DIURNO. AF_06/2014</t>
  </si>
  <si>
    <t>0,0020000</t>
  </si>
  <si>
    <t>5841</t>
  </si>
  <si>
    <t>VASSOURA MECÂNICA REBOCÁVEL COM ESCOVA CILÍNDRICA, LARGURA ÚTIL DE VARRIMENTO DE 2,44 M - CHI DIURNO. AF_06/2014</t>
  </si>
  <si>
    <t>0,0040000</t>
  </si>
  <si>
    <t>COLETATO NA ANP</t>
  </si>
  <si>
    <t>ASFALTO DILUIDO DE PETROLEO CM-30 (COLETADO NA ANP 03/2022 ACRESCIDO DE ICMS)</t>
  </si>
  <si>
    <t>1,2000000</t>
  </si>
  <si>
    <t>83362</t>
  </si>
  <si>
    <t>ESPARGIDOR DE ASFALTO PRESSURIZADO, TANQUE 6 M3 COM ISOLAÇÃO TÉRMICA, AQUECIDO COM 2 MAÇARICOS, COM BARRA ESPARGIDORA 3,60 M, MONTADO SOBRE CAMINHÃO  TOCO, PBT 14.300 KG, POTÊNCIA 185 CV - CHP DIURNO. AF_08/2015</t>
  </si>
  <si>
    <t>0,0010000</t>
  </si>
  <si>
    <t>0,0058000</t>
  </si>
  <si>
    <t>89035</t>
  </si>
  <si>
    <t>TRATOR DE PNEUS, POTÊNCIA 85 CV, TRAÇÃO 4X4, PESO COM LASTRO DE 4.675 KG - CHP DIURNO. AF_06/2014</t>
  </si>
  <si>
    <t>0,0017000</t>
  </si>
  <si>
    <t>TRATOR DE PNEUS, POTÊNCIA 85 CV, TRAÇÃO 4X4, PESO COM LASTRO DE 4.675 KG - CHI DIURNO. AF_06/2014</t>
  </si>
  <si>
    <t>0,0041000</t>
  </si>
  <si>
    <t>91486</t>
  </si>
  <si>
    <t>ESPARGIDOR DE ASFALTO PRESSURIZADO, TANQUE 6 M3 COM ISOLAÇÃO TÉRMICA, AQUECIDO COM 2 MAÇARICOS, COM BARRA ESPARGIDORA 3,60 M, MONTADO SOBRE CAMINHÃO  TOCO, PBT 14.300 KG, POTÊNCIA 185 CV - CHI DIURNO. AF_08/2015</t>
  </si>
  <si>
    <t>0,0049000</t>
  </si>
  <si>
    <t>PARA ADP CM30 FOI COLETADO NA ANP MÊS 06/2024 E APLICADO ICMS</t>
  </si>
  <si>
    <t>COMPOSIÇÃO 06 POÇO DE VISITA -PV-1 :80X80X150XM(COM TAMPA DE CONCRETO E FUNDO COM LASTRO DE CONCRETO) ALVENARIA DE TIJOLETA (CHAPISCO E REBOCO) COMPLETA</t>
  </si>
  <si>
    <t xml:space="preserve">AUXILIAR </t>
  </si>
  <si>
    <t>POÇO DE VISITA -PV-1 :80X80X150XM(COM TAMPA DE CONCRETO E FUNDO COM LASTRO DE CONCRETO) ALVENARIA DE TIJOLETA (CHAPISCO E REBOCO) COMPLETA</t>
  </si>
  <si>
    <t>34</t>
  </si>
  <si>
    <t>ACO CA-50, 10,0 MM, VERGALHAO</t>
  </si>
  <si>
    <t>ARAME RECOZIDO 16 BWG, 1,60 MM (0,016 KG/M</t>
  </si>
  <si>
    <t>370</t>
  </si>
  <si>
    <t>1379</t>
  </si>
  <si>
    <t>CIMENTO PORTLAND COMPOSTO CP II-32</t>
  </si>
  <si>
    <t>PEDRA BRITADA N. 1 (9,5 a 19 MM) POSTO PEDREIRA/FORNECEDOR, COM FRETE 15 KM</t>
  </si>
  <si>
    <t>5070</t>
  </si>
  <si>
    <t>PREGO DE ACO POLIDO COM CABECA 17 X 30 (2 3/4 X 11)</t>
  </si>
  <si>
    <t>6194</t>
  </si>
  <si>
    <t>PECA DE MADEIRA 2A QUALIDADE 2,5 X 15CM (1X6") NAO APARELHADA</t>
  </si>
  <si>
    <t>TIJOLETA PEDRA GRES 0,1X0,15X0,45M</t>
  </si>
  <si>
    <t>88238</t>
  </si>
  <si>
    <t>AJUDANTE DE ARMADOR COM ENCARGOS COMPLEMENTARES</t>
  </si>
  <si>
    <t>88239</t>
  </si>
  <si>
    <t>88245</t>
  </si>
  <si>
    <t>ARMADOR COM ENCARGOS COMPLEMENTARES</t>
  </si>
  <si>
    <t>88309</t>
  </si>
  <si>
    <t>PEDREIRO COM ENCARGOS COMPLEMENTARES</t>
  </si>
  <si>
    <t>CUSTO</t>
  </si>
  <si>
    <t>COMPOSIÇÃO 07 POÇO DE VISITA -PV-2 :1,50X1,50X180M(COM TAMPA DE CONCRETO E FUNDO COM LASTRO DE CONCRETO) ALVENARIA DE PEDRA GRES (CHAPISCO E REBOCO) COMPLETA</t>
  </si>
  <si>
    <t>POÇO DE VISITA -PV-2 :1,50X1,50X180M(COM TAMPA DE CONCRETO E FUNDO COM LASTRO DE CONCRETO) ALVENARIA DE TIJOLETA (CHAPISCO E REBOCO) COMPLETA</t>
  </si>
  <si>
    <t xml:space="preserve"> PEDRA GRES 0,15X0,22X 0,45M</t>
  </si>
  <si>
    <t>RETROESCAVADEIRA SOBRE RODAS COM CARREGADEIRA, TRAÇÃO 4X4</t>
  </si>
  <si>
    <t>CP</t>
  </si>
  <si>
    <t>COMPOSIÇÃO 08 POÇO DE VISITA -PV-3 :2,20X2,20X2,50M(COM TAMPA DE CONCRETO E FUNDO COM LASTRO DE CONCRETO) ALVENARIA DE PEDRA GRES (CHAPISCO E REBOCO) COMPLETA</t>
  </si>
  <si>
    <t>COMPOSIÇÃO 09 EXECUÇÃO DE PINTURA DE LIGAÇÃO COM EMULSÃO ASFÁLTICA RR-2C</t>
  </si>
  <si>
    <t>03.PAVI.BASE.109/01</t>
  </si>
  <si>
    <t>96402</t>
  </si>
  <si>
    <t>EXECUÇÃO DE PINTURA DE LIGAÇÃO COM EMULSÃO ASFÁLTICA RR-2C. AF_11/2019</t>
  </si>
  <si>
    <t>EMULSAO ASFALTICA CATIONICA RR-2C PARA USO EM PAVIMENTACAO ASFALTICA (COLETADO CAIXA NA ANP ACRESCIDO DE ICMS)</t>
  </si>
  <si>
    <t>0,4500000</t>
  </si>
  <si>
    <t>0,0004000</t>
  </si>
  <si>
    <t>0,0055000</t>
  </si>
  <si>
    <t>89036</t>
  </si>
  <si>
    <t>0,0038000</t>
  </si>
  <si>
    <t>PARA EMULSÃO FOI COLETADO NA ANP 06/2024 E APLICADO ICMS</t>
  </si>
  <si>
    <t>COMPOSIÇÃO 10 EXECUÇÃO DE PAVIMENTO COM APLICAÇÃO DE CONCRETO ASFÁLTICO, CAMADA DE BINDER -</t>
  </si>
  <si>
    <t>03.PAVI.ASFT.010/01</t>
  </si>
  <si>
    <t>95996</t>
  </si>
  <si>
    <t>EXECUÇÃO DE PAVIMENTO COM APLICAÇÃO DE CONCRETO ASFÁLTICO, CAMADA DE BINDER - EXCLUSIVE CARGA E TRANSPORTE. AF_11/2019</t>
  </si>
  <si>
    <t>CUSTO UNIT</t>
  </si>
  <si>
    <t>0,0331000</t>
  </si>
  <si>
    <t>0,0678000</t>
  </si>
  <si>
    <t>AUXILIAR 11</t>
  </si>
  <si>
    <t xml:space="preserve"> USINAGEM DE CBUQ COM CAP 50/70, PARA BINDER</t>
  </si>
  <si>
    <t>2,5548000</t>
  </si>
  <si>
    <t>88314</t>
  </si>
  <si>
    <t>0,8072000</t>
  </si>
  <si>
    <t>91386</t>
  </si>
  <si>
    <t>0,0575000</t>
  </si>
  <si>
    <t>0,0434000</t>
  </si>
  <si>
    <t>0,0668000</t>
  </si>
  <si>
    <t>0,0299000</t>
  </si>
  <si>
    <t>0,0710000</t>
  </si>
  <si>
    <t>COMPOSIÇÃO 11 USINAGEM DE CONCRETO ASFÁLTICO COM CAP 50/70, PARA CAMADA DE BINDER, PADRÃO DNIT FAIXA B, EM USINA DE ASFALTO CONTÍNUA DE 80 TON/H</t>
  </si>
  <si>
    <t>03.PAVI.USIN.001/01</t>
  </si>
  <si>
    <t>104358</t>
  </si>
  <si>
    <t>USINAGEM DE CONCRETO ASFÁLTICO COM CAP 50/70, PARA CAMADA DE BINDER, PADRÃO DNIT FAIXA B, EM USINA DE ASFALTO CONTÍNUA DE 80 TON/H. AF_03/2020</t>
  </si>
  <si>
    <t>0,2421000</t>
  </si>
  <si>
    <t>51,8800000</t>
  </si>
  <si>
    <t>4720</t>
  </si>
  <si>
    <t>0,1740000</t>
  </si>
  <si>
    <t>0,1782000</t>
  </si>
  <si>
    <t>5942</t>
  </si>
  <si>
    <t>7030</t>
  </si>
  <si>
    <t>ANP</t>
  </si>
  <si>
    <t>CIMENTO ASFALTICO DE PETROLEO A GRANEL (CAP) 50/70</t>
  </si>
  <si>
    <t>0,0566000</t>
  </si>
  <si>
    <t>93433</t>
  </si>
  <si>
    <t>93434</t>
  </si>
  <si>
    <t>95872</t>
  </si>
  <si>
    <r>
      <rPr>
        <b/>
        <sz val="11"/>
        <rFont val="Times New Roman"/>
        <family val="1"/>
      </rPr>
      <t>01 -</t>
    </r>
    <r>
      <rPr>
        <b/>
        <sz val="12"/>
        <rFont val="Times New Roman"/>
        <family val="1"/>
      </rPr>
      <t xml:space="preserve"> OBJETO:</t>
    </r>
    <r>
      <rPr>
        <sz val="12"/>
        <color indexed="8"/>
        <rFont val="Times New Roman"/>
        <family val="1"/>
        <charset val="1"/>
      </rPr>
      <t>Execução de serviços de terraplanagem na futura Secretaria de Obras, localizada na rua Olivia K. Gerhardt esquina rua Nilo Peçanha, bairro Vila Rica ,  no município de Campo Bom.</t>
    </r>
    <r>
      <rPr>
        <b/>
        <sz val="12"/>
        <rFont val="Times New Roman"/>
        <family val="1"/>
      </rPr>
      <t xml:space="preserve"> </t>
    </r>
    <r>
      <rPr>
        <b/>
        <sz val="11"/>
        <rFont val="Times New Roman"/>
        <family val="1"/>
      </rPr>
      <t xml:space="preserve">    </t>
    </r>
  </si>
  <si>
    <t>DESCRIÇÃO ANALÍTICA</t>
  </si>
  <si>
    <t>AC</t>
  </si>
  <si>
    <t>Administração central</t>
  </si>
  <si>
    <t>S + G</t>
  </si>
  <si>
    <t xml:space="preserve">Seguro Garantia </t>
  </si>
  <si>
    <t>R</t>
  </si>
  <si>
    <t>Risco</t>
  </si>
  <si>
    <t>DF</t>
  </si>
  <si>
    <t>Depesas Financeiras</t>
  </si>
  <si>
    <t>L</t>
  </si>
  <si>
    <t>Lucro</t>
  </si>
  <si>
    <t>I</t>
  </si>
  <si>
    <t>Taxa Representativa de Tributos (PIS+COFINS+ISSQN+CPRB)</t>
  </si>
  <si>
    <t>PIS</t>
  </si>
  <si>
    <t>COFINS</t>
  </si>
  <si>
    <t>CPRB</t>
  </si>
  <si>
    <t>Contribuição Previdenciária sobre a Receita Bruta</t>
  </si>
  <si>
    <t>ISSQN</t>
  </si>
  <si>
    <t>ISSQN (Alíquota x % Base de cálculo</t>
  </si>
  <si>
    <t>Fórmula para o cálculo do B.D.I. ( benefícios e despesas indiretas )</t>
  </si>
  <si>
    <t>BDI:</t>
  </si>
  <si>
    <t>Alíquota de ISSQN: 2%</t>
  </si>
  <si>
    <t>% Mão de Obra em relação ao valor total da obra (0,2%)</t>
  </si>
  <si>
    <t xml:space="preserve">01 - OBJETO: Empreitada global com medições por custo unitário com fornecimento de material, mão de obra, equipamentos e responsabilidade técnica nos serviços de terraplanagem no Loteamento Parque Industrial no município de Campo Bom.  </t>
  </si>
  <si>
    <t xml:space="preserve">CLASSE </t>
  </si>
  <si>
    <t>CORTE</t>
  </si>
  <si>
    <t>A</t>
  </si>
  <si>
    <t>B</t>
  </si>
  <si>
    <t>C</t>
  </si>
  <si>
    <t>Plantio em grama em placas</t>
  </si>
  <si>
    <t>M²</t>
  </si>
  <si>
    <t>Transporte com caminhão basculante de 14 m3, em via urbana (dmt 7,5km)</t>
  </si>
  <si>
    <t>S-83338</t>
  </si>
  <si>
    <t>Escavacao mecanica, a ceu aberto, em material de 1a categoria, com escavadeira hidraulica, capacidade de 0,78 m3</t>
  </si>
  <si>
    <t>Transporte com caminhão basculante de 14 m3, em via urbana (dmt 3,5km)</t>
  </si>
  <si>
    <t>Escavacao mecanica para acerto de taludes, em material de 1a categoria  com escavadeira hidraulica</t>
  </si>
  <si>
    <t>Transporte com caminhão basculante de 14 m3, em via urbana (dmt 3km)</t>
  </si>
  <si>
    <t>3.10</t>
  </si>
  <si>
    <t>S-96385</t>
  </si>
  <si>
    <t>Execução e compactação de aterro com solo predominantemente argiloso (motoniveladora ,trator de esteira, caminhão pipa,rolo compactador, grade de disco)</t>
  </si>
  <si>
    <t>3.11</t>
  </si>
  <si>
    <t>S-96386</t>
  </si>
  <si>
    <t>Execução e compactação de aterro com solo predominantemente arenoso(motoniveladora ,trator de esteira, caminhão pipa,rolo compactador, grade de disco)</t>
  </si>
  <si>
    <t>S-74034/001</t>
  </si>
  <si>
    <t>Transporte com caminhão basculante de 14 m3, em via urbana (dmt 7km)</t>
  </si>
  <si>
    <t>Transporte com caminhão basculante de 14 m3, em via urbana (dmt 5,7km)</t>
  </si>
  <si>
    <t>Execução de base de brita graduada para arruamentos provisórios,  exclusive transporte</t>
  </si>
  <si>
    <t>96396 EXECUÇÃO E COMPACTAÇÃO DE BASE E OU SUB BASE COM BRITA GRADUADA SIMPLE M3 AS 82,42
S - EXCLUSIVE CARGA E TRANSPORTE. AF_09/2017</t>
  </si>
  <si>
    <t>Reforço de leito para arruamentos provisórios com rachão, exclusive transporte</t>
  </si>
  <si>
    <t>S-79473</t>
  </si>
  <si>
    <t>Corte e aterro compensado</t>
  </si>
  <si>
    <t>78472 SERVICOS TOPOGRAFICOS PARA PAVIMENTACAO, INCLUSIVE NOTA DE SERVICOS, A M2 CR 0,39
COMPANHAMENTO E GREIDE</t>
  </si>
  <si>
    <t>S-6514</t>
  </si>
  <si>
    <t>Lastro de brita 04 para bacias de captação</t>
  </si>
  <si>
    <t>92811 ASSENTAMENTO DE TUBO DE CONCRETO PARA REDES COLETORAS DE ÁGUAS PLUVIAI M CR 56,15
S, DIÂMETRO DE 600 MM, JUNTA RÍGIDA, INSTALADO EM LOCAL COM BAIXO NÍVE
L DE INTERFERÊNCIAS (NÃO INCLUI FORNECIMENTO). AF_12/2015</t>
  </si>
  <si>
    <t>85424 ISOLAMENTO DE OBRA COM TELA PLASTICA COM MALHA DE 5MM E ESTRUTURA DE M M2 CR 19,05
ADEIRA PONTALETEADA</t>
  </si>
  <si>
    <t>S-97053</t>
  </si>
  <si>
    <t xml:space="preserve">Sinalização com fita fixada em cone plástico, incluindo cone. </t>
  </si>
  <si>
    <t>97053 SINALIZAÇÃO COM FITA FIXADA EM CONE PLÁSTICO, INCLUINDO CONE. AF_11/20 M CR 33,62
17</t>
  </si>
  <si>
    <t>00010775 LOCACAO DE CONTAINER 2,30 X 6,00 M, ALT. 2,50 M, COM 1 SANITARIO, PARA ESCRITORIO, MES 510,00
COMPLETO, SEM DIVISORIAS INTERNAS</t>
  </si>
  <si>
    <t>S-74022/019</t>
  </si>
  <si>
    <t>Ensaio de indice de suporte california - para solos</t>
  </si>
  <si>
    <t>74022/019 ENSAIO DE INDICE DE SUPORTE CALIFORNIA - AMOSTRAS NAO TRABALHADAS - EN UN CR 185,05
ERGIA NORMAL - SOLOS</t>
  </si>
  <si>
    <t>92809 ASSENTAMENTO DE TUBO DE CONCRETO PARA REDES COLETORAS DE ÁGUAS PLUVIAI M CR 38,75
S, DIÂMETRO DE 400 MM, JUNTA RÍGIDA, INSTALADO EM LOCAL COM BAIXO NÍVE
L DE INTERFERÊNCIAS (NÃO INCLUI FORNECIMENTO). AF_12/2015</t>
  </si>
  <si>
    <t>Bacias de captação provisórias (drenagem provisória)</t>
  </si>
  <si>
    <t>S-74022/010</t>
  </si>
  <si>
    <t xml:space="preserve">Ensaio de compactacao - amostras nao trabalhadas - energia normal </t>
  </si>
  <si>
    <t>74022/010 ENSAIO DE COMPACTACAO - AMOSTRAS NAO TRABALHADAS - ENERGIA NORMAL - SO UN CR 152,86</t>
  </si>
  <si>
    <t>93369 REATERRO MECANIZADO DE VALA COM ESCAVADEIRA HIDRÁULICA (CAPACIDADE DA M3 AS 8,14
CAÇAMBA: 0,8 M³ / POTÊNCIA: 111 HP), LARGURA DE 1,5 A 2,5 M, PROFUNDID
ADE DE 1,5 A 3,0 M, COM SOLO (SEM SUBSTITUIÇÃO) DE 1ª CATEGORIA EM LOC
AIS COM BAIXO NÍVEL DE INTERFERÊNCIA. AF_04/2016</t>
  </si>
  <si>
    <t>74209/001 PLACA DE OBRA EM CHAPA DE ACO GALVANIZADO M2 AS 326,68</t>
  </si>
  <si>
    <t>73844/001 MURO DE ARRIMO DE ALVENARIA DE PEDRA ARGAMASSADA M3 CR 479,48</t>
  </si>
  <si>
    <t>90092 ESCAVAÇÃO MECANIZADA DE VALA COM PROF. MAIOR QUE 1,5 M E ATÉ 3,0 M(MÉD M3 CR 4,87
IA ENTRE MONTANTE E JUSANTE/UMA COMPOSIÇÃO POR TRECHO), COM ESCAVADEIR
A HIDRÁULICA (0,8 M3/111 HP), LARG. MENOR QUE 1,5 M, EM SOLO DE 1A CAT
EGORIA, LOCAIS COM BAIXO NÍVEL DE INTERFERÊNCIA. AF_01/2015</t>
  </si>
  <si>
    <t>Transporte de Brita - DMT 15 Km</t>
  </si>
  <si>
    <t>5212556 Placa para sinalização de obras montada em cavalete metálico - 1,00 x 1,00 m un 32,89</t>
  </si>
  <si>
    <t>S-74022/023</t>
  </si>
  <si>
    <t xml:space="preserve">Ensaio de teor de umidade - processo speedy - solos e agregados miudos </t>
  </si>
  <si>
    <t>74022/023 ENSAIO DE TEOR DE UMIDADE - PROCESSO SPEEDY - SOLOS E AGREGADOS MIUDOS UN CR 48,20</t>
  </si>
  <si>
    <t>S-94965</t>
  </si>
  <si>
    <t>94965 CONCRETO FCK = 25MPA, TRAÇO 1:2,3:2,7 (CIMENTO/ AREIA MÉDIA/ BRITA 1) M3 CR 346,77
- PREPARO MECÂNICO COM BETONEIRA 400 L. AF_07/2016</t>
  </si>
  <si>
    <t>S-74022/008</t>
  </si>
  <si>
    <t xml:space="preserve">Ensaio de limite de liquidez - solos </t>
  </si>
  <si>
    <t>74022/008 ENSAIO DE LIMITE DE LIQUIDEZ - SOLOS UN CR 80,34</t>
  </si>
  <si>
    <t xml:space="preserve">S-74022/009 </t>
  </si>
  <si>
    <t xml:space="preserve">Ensaio de limite de plasticidade - solos </t>
  </si>
  <si>
    <t>74022/009 ENSAIO DE LIMITE DE PLASTICIDADE - SOLOS UN CR 72,30</t>
  </si>
  <si>
    <t>Carga, Manobras e Descarga de BBG</t>
  </si>
  <si>
    <t>72844 CARGA, MANOBRAS E DESCARGA DE AREIA, BRITA, PEDRA DE MAO E SOLOS COM C T CR 0,79
AMINHAO BASCULANTE 6 M3 (DESCARGA LIVRE)</t>
  </si>
  <si>
    <t>SINAPI- 05/2019- SICRO 10/2018</t>
  </si>
  <si>
    <t>curva</t>
  </si>
  <si>
    <t>Relatório de Compatibilidade para ORCAMENTO_TERRAPLANAGEM_futura_sec_de_obras (2).xls</t>
  </si>
  <si>
    <t>Executar em 05/11/2025 15:17</t>
  </si>
  <si>
    <t>Os seguintes recursos desta pasta de trabalho não têm suporte em versões anteriores do Excel. Eles poderão ser perdidos ou prejudicados se você abrir esta pasta de trabalho em uma versão anterior do Excel ou salvá-la em um formato de arquivo anterior.</t>
  </si>
  <si>
    <t>Perda insignificante de fidelidade</t>
  </si>
  <si>
    <t>Núm. de ocorrências</t>
  </si>
  <si>
    <t>Versão</t>
  </si>
  <si>
    <t>Algumas fórmulas nesta pasta de trabalho estão vinculadas a outras pastas de trabalho que estão fechadas. Quando as fórmulas forem recalculadas em versões anteriores do Excel sem que as pastas de trabalho vinculadas sejam abertas, não será possível retornar caracteres além do limite de 255.</t>
  </si>
  <si>
    <t>Excel 97-2003</t>
  </si>
  <si>
    <t>3
Nomes Definidos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</si>
</sst>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R$ &quot;* #,##0.00_-;&quot;-R$ &quot;* #,##0.00_-;_-&quot;R$ &quot;* \-??_-;_-@_-"/>
    <numFmt numFmtId="165" formatCode="_-* #,##0.00_-;\-* #,##0.00_-;_-* \-??_-;_-@_-"/>
    <numFmt numFmtId="166" formatCode="_(* #,##0.00_);_(* \(#,##0.00\);_(* \-??_);_(@_)"/>
    <numFmt numFmtId="167" formatCode="_(&quot;R$ &quot;* #,##0.00_);_(&quot;R$ &quot;* \(#,##0.00\);_(&quot;R$ &quot;* \-??_);_(@_)"/>
    <numFmt numFmtId="168" formatCode="0.000"/>
    <numFmt numFmtId="169" formatCode="_-* #,##0_-;\-* #,##0_-;_-* \-??_-;_-@_-"/>
    <numFmt numFmtId="170" formatCode="#,##0.0000"/>
    <numFmt numFmtId="171" formatCode="#,##0.00000"/>
    <numFmt numFmtId="172" formatCode="#,##0.0000000"/>
    <numFmt numFmtId="173" formatCode="0.00000000%"/>
  </numFmts>
  <fonts count="56">
    <font>
      <sz val="10"/>
      <name val="Arial"/>
    </font>
    <font>
      <sz val="10"/>
      <name val="Arial"/>
      <family val="2"/>
    </font>
    <font>
      <sz val="11"/>
      <color indexed="8"/>
      <name val="Calibri"/>
      <family val="2"/>
    </font>
    <font>
      <sz val="10"/>
      <color indexed="8"/>
      <name val="Arial"/>
      <family val="2"/>
    </font>
    <font>
      <sz val="10"/>
      <color indexed="8"/>
      <name val="Times New Roman"/>
      <family val="1"/>
    </font>
    <font>
      <b/>
      <sz val="20"/>
      <color indexed="8"/>
      <name val="Calibri"/>
      <family val="2"/>
    </font>
    <font>
      <sz val="14"/>
      <color indexed="8"/>
      <name val="Calibri"/>
      <family val="2"/>
    </font>
    <font>
      <b/>
      <sz val="14"/>
      <color indexed="8"/>
      <name val="Calibri"/>
      <family val="2"/>
    </font>
    <font>
      <b/>
      <sz val="10"/>
      <name val="Arial"/>
      <family val="2"/>
    </font>
    <font>
      <sz val="11"/>
      <color indexed="8"/>
      <name val="Times New Roman"/>
      <family val="1"/>
    </font>
    <font>
      <sz val="14"/>
      <color indexed="8"/>
      <name val="Arial"/>
      <family val="2"/>
    </font>
    <font>
      <b/>
      <sz val="18"/>
      <color indexed="8"/>
      <name val="Times New Roman"/>
      <family val="1"/>
    </font>
    <font>
      <sz val="18"/>
      <color indexed="8"/>
      <name val="Times New Roman"/>
      <family val="1"/>
    </font>
    <font>
      <b/>
      <sz val="12"/>
      <color indexed="8"/>
      <name val="Times New Roman"/>
      <family val="1"/>
    </font>
    <font>
      <b/>
      <sz val="11"/>
      <color indexed="8"/>
      <name val="Times New Roman"/>
      <family val="1"/>
    </font>
    <font>
      <b/>
      <sz val="14"/>
      <color indexed="8"/>
      <name val="Times New Roman"/>
      <family val="1"/>
      <charset val="1"/>
    </font>
    <font>
      <sz val="14"/>
      <color indexed="8"/>
      <name val="Times New Roman"/>
      <family val="1"/>
      <charset val="1"/>
    </font>
    <font>
      <b/>
      <sz val="16"/>
      <color indexed="8"/>
      <name val="Times New Roman"/>
      <family val="1"/>
    </font>
    <font>
      <sz val="14"/>
      <color indexed="8"/>
      <name val="Times New Roman"/>
      <family val="1"/>
    </font>
    <font>
      <sz val="14"/>
      <name val="Times New Roman"/>
      <family val="1"/>
    </font>
    <font>
      <sz val="11"/>
      <name val="Times New Roman"/>
      <family val="1"/>
    </font>
    <font>
      <sz val="10"/>
      <name val="Times New Roman"/>
      <family val="1"/>
    </font>
    <font>
      <sz val="13"/>
      <name val="Times New Roman"/>
      <family val="1"/>
    </font>
    <font>
      <b/>
      <sz val="18"/>
      <color indexed="8"/>
      <name val="Calibri"/>
      <family val="2"/>
    </font>
    <font>
      <sz val="14"/>
      <name val="Arial"/>
    </font>
    <font>
      <b/>
      <sz val="14"/>
      <color indexed="8"/>
      <name val="Times New Roman"/>
      <family val="1"/>
    </font>
    <font>
      <b/>
      <sz val="14"/>
      <color indexed="8"/>
      <name val="Arial"/>
      <family val="2"/>
    </font>
    <font>
      <sz val="14"/>
      <name val="Arial"/>
      <family val="2"/>
    </font>
    <font>
      <b/>
      <sz val="14"/>
      <name val="Times New Roman"/>
      <family val="1"/>
    </font>
    <font>
      <b/>
      <sz val="14"/>
      <name val="Arial"/>
      <family val="2"/>
    </font>
    <font>
      <b/>
      <sz val="11"/>
      <color indexed="8"/>
      <name val="Arial"/>
      <family val="2"/>
    </font>
    <font>
      <sz val="12"/>
      <color indexed="8"/>
      <name val="Arial"/>
      <family val="2"/>
    </font>
    <font>
      <sz val="9"/>
      <name val="Arial"/>
      <family val="2"/>
    </font>
    <font>
      <b/>
      <sz val="10"/>
      <name val="Times New Roman"/>
      <family val="1"/>
    </font>
    <font>
      <sz val="16"/>
      <color indexed="8"/>
      <name val="Calibri"/>
      <family val="2"/>
    </font>
    <font>
      <b/>
      <sz val="12"/>
      <color indexed="8"/>
      <name val="Arial"/>
      <family val="2"/>
    </font>
    <font>
      <b/>
      <sz val="8"/>
      <name val="Arial"/>
      <family val="2"/>
    </font>
    <font>
      <sz val="8"/>
      <color indexed="8"/>
      <name val="Arial"/>
      <family val="2"/>
    </font>
    <font>
      <sz val="11"/>
      <color indexed="8"/>
      <name val="Arial"/>
      <family val="2"/>
    </font>
    <font>
      <b/>
      <u/>
      <sz val="8"/>
      <color indexed="8"/>
      <name val="Arial"/>
      <family val="2"/>
    </font>
    <font>
      <sz val="8"/>
      <color indexed="8"/>
      <name val="Courier New"/>
      <family val="3"/>
    </font>
    <font>
      <b/>
      <sz val="15"/>
      <color indexed="8"/>
      <name val="Arial"/>
      <family val="2"/>
    </font>
    <font>
      <sz val="9"/>
      <color indexed="8"/>
      <name val="Arial"/>
      <family val="2"/>
    </font>
    <font>
      <sz val="11"/>
      <color indexed="8"/>
      <name val="Courier10 BT"/>
      <family val="3"/>
    </font>
    <font>
      <i/>
      <sz val="8"/>
      <color indexed="8"/>
      <name val="Arial"/>
      <family val="2"/>
    </font>
    <font>
      <b/>
      <sz val="8.5"/>
      <name val="Arial"/>
      <family val="2"/>
    </font>
    <font>
      <b/>
      <sz val="24"/>
      <color indexed="8"/>
      <name val="Times New Roman"/>
      <family val="1"/>
    </font>
    <font>
      <b/>
      <sz val="12"/>
      <name val="Times New Roman"/>
      <family val="1"/>
    </font>
    <font>
      <b/>
      <sz val="11"/>
      <name val="Times New Roman"/>
      <family val="1"/>
    </font>
    <font>
      <sz val="12"/>
      <color indexed="8"/>
      <name val="Times New Roman"/>
      <family val="1"/>
      <charset val="1"/>
    </font>
    <font>
      <sz val="12"/>
      <name val="Times New Roman"/>
      <family val="1"/>
    </font>
    <font>
      <sz val="12"/>
      <name val="Arial"/>
      <family val="2"/>
    </font>
    <font>
      <b/>
      <sz val="16"/>
      <color indexed="8"/>
      <name val="Calibri"/>
      <family val="2"/>
    </font>
    <font>
      <sz val="12"/>
      <color indexed="8"/>
      <name val="Times New Roman"/>
      <family val="1"/>
    </font>
    <font>
      <sz val="10"/>
      <name val="Arial"/>
    </font>
    <font>
      <b/>
      <sz val="10"/>
      <name val="Arial"/>
    </font>
  </fonts>
  <fills count="9">
    <fill>
      <patternFill patternType="none"/>
    </fill>
    <fill>
      <patternFill patternType="gray125"/>
    </fill>
    <fill>
      <patternFill patternType="solid">
        <fgColor indexed="43"/>
        <bgColor indexed="26"/>
      </patternFill>
    </fill>
    <fill>
      <patternFill patternType="solid">
        <fgColor indexed="9"/>
        <bgColor indexed="26"/>
      </patternFill>
    </fill>
    <fill>
      <patternFill patternType="solid">
        <fgColor indexed="22"/>
        <bgColor indexed="24"/>
      </patternFill>
    </fill>
    <fill>
      <patternFill patternType="solid">
        <fgColor indexed="24"/>
        <bgColor indexed="22"/>
      </patternFill>
    </fill>
    <fill>
      <patternFill patternType="solid">
        <fgColor indexed="55"/>
        <bgColor indexed="23"/>
      </patternFill>
    </fill>
    <fill>
      <patternFill patternType="solid">
        <fgColor indexed="13"/>
        <bgColor indexed="34"/>
      </patternFill>
    </fill>
    <fill>
      <patternFill patternType="solid">
        <fgColor indexed="11"/>
        <bgColor indexed="49"/>
      </patternFill>
    </fill>
  </fills>
  <borders count="2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style="thin">
        <color indexed="8"/>
      </bottom>
      <diagonal/>
    </border>
    <border>
      <left style="thin">
        <color indexed="8"/>
      </left>
      <right/>
      <top/>
      <bottom/>
      <diagonal/>
    </border>
    <border>
      <left style="thin">
        <color indexed="8"/>
      </left>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diagonal/>
    </border>
    <border>
      <left style="medium">
        <color indexed="8"/>
      </left>
      <right/>
      <top/>
      <bottom/>
      <diagonal/>
    </border>
    <border>
      <left/>
      <right style="medium">
        <color indexed="8"/>
      </right>
      <top/>
      <bottom/>
      <diagonal/>
    </border>
    <border>
      <left/>
      <right style="thin">
        <color indexed="8"/>
      </right>
      <top/>
      <bottom/>
      <diagonal/>
    </border>
    <border>
      <left style="medium">
        <color indexed="8"/>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diagonal/>
    </border>
    <border>
      <left/>
      <right/>
      <top style="thin">
        <color indexed="8"/>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25">
    <xf numFmtId="0" fontId="0" fillId="0" borderId="0"/>
    <xf numFmtId="165" fontId="54" fillId="0" borderId="0" applyFill="0" applyBorder="0" applyAlignment="0" applyProtection="0"/>
    <xf numFmtId="167" fontId="54" fillId="0" borderId="0" applyFill="0" applyBorder="0" applyAlignment="0" applyProtection="0"/>
    <xf numFmtId="9" fontId="54" fillId="0" borderId="0" applyFill="0" applyBorder="0" applyAlignment="0" applyProtection="0"/>
    <xf numFmtId="164" fontId="54" fillId="0" borderId="0" applyFill="0" applyBorder="0" applyAlignment="0" applyProtection="0"/>
    <xf numFmtId="164" fontId="54" fillId="0" borderId="0" applyFill="0" applyBorder="0" applyAlignment="0" applyProtection="0"/>
    <xf numFmtId="164" fontId="54" fillId="0" borderId="0" applyFill="0" applyBorder="0" applyAlignment="0" applyProtection="0"/>
    <xf numFmtId="0" fontId="1" fillId="0" borderId="0"/>
    <xf numFmtId="0" fontId="1" fillId="0" borderId="0"/>
    <xf numFmtId="0" fontId="2" fillId="0" borderId="0"/>
    <xf numFmtId="0" fontId="2" fillId="0" borderId="0"/>
    <xf numFmtId="0" fontId="2" fillId="0" borderId="0"/>
    <xf numFmtId="0" fontId="3" fillId="0" borderId="0"/>
    <xf numFmtId="0" fontId="4" fillId="0" borderId="0"/>
    <xf numFmtId="0" fontId="4" fillId="0" borderId="0"/>
    <xf numFmtId="0" fontId="2" fillId="0" borderId="0"/>
    <xf numFmtId="0" fontId="2" fillId="0" borderId="0"/>
    <xf numFmtId="0" fontId="2" fillId="0" borderId="0"/>
    <xf numFmtId="9" fontId="54" fillId="0" borderId="0" applyFill="0" applyBorder="0" applyAlignment="0" applyProtection="0"/>
    <xf numFmtId="9" fontId="54" fillId="0" borderId="0" applyFill="0" applyBorder="0" applyAlignment="0" applyProtection="0"/>
    <xf numFmtId="165" fontId="54" fillId="0" borderId="0" applyFill="0" applyBorder="0" applyAlignment="0" applyProtection="0"/>
    <xf numFmtId="165" fontId="54" fillId="0" borderId="0" applyFill="0" applyBorder="0" applyAlignment="0" applyProtection="0"/>
    <xf numFmtId="165" fontId="54" fillId="0" borderId="0" applyFill="0" applyBorder="0" applyAlignment="0" applyProtection="0"/>
    <xf numFmtId="165" fontId="54" fillId="0" borderId="0" applyFill="0" applyBorder="0" applyAlignment="0" applyProtection="0"/>
    <xf numFmtId="166" fontId="3" fillId="0" borderId="0" applyFill="0" applyBorder="0" applyAlignment="0" applyProtection="0"/>
  </cellStyleXfs>
  <cellXfs count="369">
    <xf numFmtId="0" fontId="0" fillId="0" borderId="0" xfId="0"/>
    <xf numFmtId="0" fontId="8" fillId="0" borderId="0" xfId="0" applyFont="1" applyBorder="1" applyAlignment="1">
      <alignment horizontal="center"/>
    </xf>
    <xf numFmtId="0" fontId="8" fillId="0" borderId="1" xfId="0" applyFont="1" applyBorder="1" applyAlignment="1">
      <alignment horizontal="center"/>
    </xf>
    <xf numFmtId="167" fontId="1" fillId="0" borderId="1" xfId="2" applyFont="1" applyFill="1" applyBorder="1" applyAlignment="1" applyProtection="1">
      <alignment horizontal="center"/>
    </xf>
    <xf numFmtId="0" fontId="1" fillId="0" borderId="0" xfId="0" applyFont="1"/>
    <xf numFmtId="9" fontId="0" fillId="0" borderId="1" xfId="3" applyFont="1" applyFill="1" applyBorder="1" applyAlignment="1" applyProtection="1">
      <alignment horizontal="center"/>
    </xf>
    <xf numFmtId="9" fontId="0" fillId="0" borderId="0" xfId="0" applyNumberFormat="1"/>
    <xf numFmtId="0" fontId="9" fillId="0" borderId="0" xfId="9" applyFont="1"/>
    <xf numFmtId="0" fontId="9" fillId="0" borderId="0" xfId="9" applyFont="1" applyAlignment="1">
      <alignment horizontal="center"/>
    </xf>
    <xf numFmtId="0" fontId="9" fillId="0" borderId="0" xfId="9" applyFont="1" applyAlignment="1">
      <alignment horizontal="left"/>
    </xf>
    <xf numFmtId="0" fontId="11" fillId="0" borderId="0" xfId="9" applyFont="1" applyFill="1" applyBorder="1" applyAlignment="1"/>
    <xf numFmtId="0" fontId="9" fillId="0" borderId="0" xfId="9" applyFont="1" applyFill="1" applyBorder="1"/>
    <xf numFmtId="0" fontId="9" fillId="0" borderId="0" xfId="9" applyFont="1" applyFill="1"/>
    <xf numFmtId="0" fontId="12" fillId="0" borderId="0" xfId="9" applyFont="1" applyFill="1" applyBorder="1" applyAlignment="1"/>
    <xf numFmtId="0" fontId="14" fillId="0" borderId="0" xfId="17" applyFont="1" applyFill="1" applyBorder="1" applyAlignment="1">
      <alignment wrapText="1"/>
    </xf>
    <xf numFmtId="0" fontId="12" fillId="0" borderId="0" xfId="9" applyFont="1" applyFill="1" applyBorder="1" applyAlignment="1">
      <alignment horizontal="center"/>
    </xf>
    <xf numFmtId="0" fontId="14" fillId="0" borderId="0" xfId="9" applyFont="1" applyFill="1" applyBorder="1" applyAlignment="1">
      <alignment horizontal="center" vertical="center"/>
    </xf>
    <xf numFmtId="0" fontId="14" fillId="0" borderId="0" xfId="9" applyFont="1" applyFill="1" applyBorder="1" applyAlignment="1">
      <alignment horizontal="center"/>
    </xf>
    <xf numFmtId="0" fontId="18" fillId="4" borderId="1" xfId="0" applyFont="1" applyFill="1" applyBorder="1" applyAlignment="1">
      <alignment horizontal="left" vertical="center"/>
    </xf>
    <xf numFmtId="0" fontId="19" fillId="4" borderId="1" xfId="0" applyFont="1" applyFill="1" applyBorder="1" applyAlignment="1">
      <alignment horizontal="left" vertical="center"/>
    </xf>
    <xf numFmtId="0" fontId="9" fillId="4" borderId="1" xfId="0" applyFont="1" applyFill="1" applyBorder="1" applyAlignment="1">
      <alignment horizontal="left" vertical="center"/>
    </xf>
    <xf numFmtId="0" fontId="9" fillId="4" borderId="0" xfId="9" applyFont="1" applyFill="1"/>
    <xf numFmtId="0" fontId="18" fillId="0" borderId="1" xfId="0" applyFont="1" applyBorder="1" applyAlignment="1">
      <alignment horizontal="left" vertical="center"/>
    </xf>
    <xf numFmtId="0" fontId="18" fillId="0" borderId="1" xfId="0" applyFont="1" applyFill="1" applyBorder="1" applyAlignment="1">
      <alignment horizontal="left" vertical="center"/>
    </xf>
    <xf numFmtId="165" fontId="9" fillId="0" borderId="1" xfId="1" applyFont="1" applyFill="1" applyBorder="1" applyAlignment="1" applyProtection="1">
      <alignment horizontal="left" vertical="center"/>
    </xf>
    <xf numFmtId="0" fontId="18" fillId="5" borderId="1" xfId="0" applyFont="1" applyFill="1" applyBorder="1" applyAlignment="1">
      <alignment horizontal="left" vertical="center"/>
    </xf>
    <xf numFmtId="165" fontId="9" fillId="4" borderId="1" xfId="1" applyFont="1" applyFill="1" applyBorder="1" applyAlignment="1" applyProtection="1">
      <alignment horizontal="left" vertical="center"/>
    </xf>
    <xf numFmtId="165" fontId="19" fillId="0" borderId="1" xfId="1" applyFont="1" applyFill="1" applyBorder="1" applyAlignment="1" applyProtection="1">
      <alignment horizontal="left" vertical="center"/>
    </xf>
    <xf numFmtId="165" fontId="20" fillId="4" borderId="1" xfId="1" applyFont="1" applyFill="1" applyBorder="1" applyAlignment="1" applyProtection="1">
      <alignment horizontal="left" vertical="center"/>
    </xf>
    <xf numFmtId="0" fontId="18" fillId="0" borderId="1" xfId="0" applyFont="1" applyBorder="1" applyAlignment="1">
      <alignment horizontal="left" vertical="center" wrapText="1"/>
    </xf>
    <xf numFmtId="165" fontId="20" fillId="0" borderId="1" xfId="1" applyFont="1" applyFill="1" applyBorder="1" applyAlignment="1" applyProtection="1">
      <alignment horizontal="left" vertical="center"/>
    </xf>
    <xf numFmtId="0" fontId="22" fillId="3" borderId="1" xfId="7" applyFont="1" applyFill="1" applyBorder="1" applyAlignment="1">
      <alignment horizontal="left" vertical="center" wrapText="1"/>
    </xf>
    <xf numFmtId="165" fontId="12" fillId="0" borderId="0" xfId="9" applyNumberFormat="1" applyFont="1" applyFill="1" applyBorder="1" applyAlignment="1"/>
    <xf numFmtId="165" fontId="9" fillId="0" borderId="0" xfId="9" applyNumberFormat="1" applyFont="1" applyFill="1"/>
    <xf numFmtId="0" fontId="19" fillId="3" borderId="1" xfId="7" applyFont="1" applyFill="1" applyBorder="1" applyAlignment="1">
      <alignment horizontal="left" vertical="center" wrapText="1"/>
    </xf>
    <xf numFmtId="165" fontId="9" fillId="4" borderId="0" xfId="9" applyNumberFormat="1" applyFont="1" applyFill="1"/>
    <xf numFmtId="0" fontId="12" fillId="4" borderId="0" xfId="9" applyFont="1" applyFill="1" applyBorder="1" applyAlignment="1"/>
    <xf numFmtId="2" fontId="9" fillId="0" borderId="0" xfId="9" applyNumberFormat="1" applyFont="1" applyFill="1"/>
    <xf numFmtId="0" fontId="21" fillId="0" borderId="0" xfId="0" applyFont="1" applyAlignment="1">
      <alignment horizontal="center"/>
    </xf>
    <xf numFmtId="0" fontId="21" fillId="0" borderId="0" xfId="0" applyFont="1"/>
    <xf numFmtId="0" fontId="20" fillId="0" borderId="0" xfId="0" applyFont="1"/>
    <xf numFmtId="2" fontId="0" fillId="0" borderId="0" xfId="0" applyNumberFormat="1"/>
    <xf numFmtId="0" fontId="0" fillId="0" borderId="0" xfId="0" applyBorder="1"/>
    <xf numFmtId="0" fontId="7" fillId="0" borderId="0" xfId="0" applyFont="1" applyFill="1" applyBorder="1" applyAlignment="1">
      <alignment horizontal="center"/>
    </xf>
    <xf numFmtId="0" fontId="24" fillId="0" borderId="1" xfId="0" applyFont="1" applyBorder="1"/>
    <xf numFmtId="0" fontId="19" fillId="0" borderId="1" xfId="0" applyFont="1" applyBorder="1" applyAlignment="1">
      <alignment horizontal="center"/>
    </xf>
    <xf numFmtId="0" fontId="19" fillId="0" borderId="1" xfId="0" applyFont="1" applyBorder="1"/>
    <xf numFmtId="2" fontId="24" fillId="0" borderId="1" xfId="0" applyNumberFormat="1" applyFont="1" applyBorder="1"/>
    <xf numFmtId="0" fontId="0" fillId="0" borderId="0" xfId="0" applyBorder="1" applyAlignment="1">
      <alignment horizontal="center"/>
    </xf>
    <xf numFmtId="0" fontId="18" fillId="6" borderId="1" xfId="0" applyFont="1" applyFill="1" applyBorder="1" applyAlignment="1">
      <alignment horizontal="center" vertical="top"/>
    </xf>
    <xf numFmtId="0" fontId="25" fillId="6" borderId="1" xfId="0" applyFont="1" applyFill="1" applyBorder="1" applyAlignment="1">
      <alignment horizontal="center" vertical="top"/>
    </xf>
    <xf numFmtId="2" fontId="18" fillId="4" borderId="1" xfId="0" applyNumberFormat="1" applyFont="1" applyFill="1" applyBorder="1" applyAlignment="1">
      <alignment horizontal="left" vertical="center"/>
    </xf>
    <xf numFmtId="0" fontId="9" fillId="4" borderId="0" xfId="0" applyFont="1" applyFill="1" applyBorder="1" applyAlignment="1">
      <alignment horizontal="left" vertical="center"/>
    </xf>
    <xf numFmtId="0" fontId="9" fillId="0" borderId="0" xfId="0" applyFont="1" applyBorder="1" applyAlignment="1">
      <alignment horizontal="left" vertical="center"/>
    </xf>
    <xf numFmtId="165" fontId="18" fillId="0" borderId="1" xfId="1" applyFont="1" applyFill="1" applyBorder="1" applyAlignment="1" applyProtection="1">
      <alignment horizontal="left" vertical="center"/>
    </xf>
    <xf numFmtId="167" fontId="18" fillId="0" borderId="1" xfId="2" applyFont="1" applyFill="1" applyBorder="1" applyAlignment="1" applyProtection="1">
      <alignment horizontal="left" vertical="center"/>
    </xf>
    <xf numFmtId="165" fontId="9" fillId="0" borderId="0" xfId="0" applyNumberFormat="1" applyFont="1" applyFill="1" applyBorder="1" applyAlignment="1">
      <alignment horizontal="left" vertical="center" wrapText="1"/>
    </xf>
    <xf numFmtId="0" fontId="9" fillId="0" borderId="0" xfId="0" applyFont="1" applyFill="1" applyBorder="1" applyAlignment="1">
      <alignment horizontal="left" vertical="center" wrapText="1"/>
    </xf>
    <xf numFmtId="2" fontId="9" fillId="0" borderId="0" xfId="0" applyNumberFormat="1" applyFont="1" applyBorder="1" applyAlignment="1">
      <alignment horizontal="left" vertical="center"/>
    </xf>
    <xf numFmtId="167" fontId="18" fillId="0" borderId="0" xfId="2" applyFont="1" applyFill="1" applyBorder="1" applyAlignment="1" applyProtection="1">
      <alignment horizontal="left" vertical="center"/>
    </xf>
    <xf numFmtId="0" fontId="9" fillId="0" borderId="0" xfId="0" applyFont="1" applyBorder="1" applyAlignment="1">
      <alignment horizontal="left" vertical="center" wrapText="1"/>
    </xf>
    <xf numFmtId="167" fontId="18" fillId="4" borderId="0" xfId="2" applyFont="1" applyFill="1" applyBorder="1" applyAlignment="1" applyProtection="1">
      <alignment horizontal="left" vertical="center"/>
    </xf>
    <xf numFmtId="0" fontId="9" fillId="0" borderId="0" xfId="0" applyFont="1" applyFill="1" applyBorder="1" applyAlignment="1">
      <alignment horizontal="left" vertical="center"/>
    </xf>
    <xf numFmtId="0" fontId="0" fillId="0" borderId="0" xfId="0" applyFill="1" applyBorder="1"/>
    <xf numFmtId="0" fontId="1" fillId="0" borderId="0" xfId="0" applyFont="1" applyFill="1" applyBorder="1" applyAlignment="1">
      <alignment wrapText="1"/>
    </xf>
    <xf numFmtId="0" fontId="1" fillId="0" borderId="0" xfId="0" applyFont="1" applyBorder="1"/>
    <xf numFmtId="0" fontId="19" fillId="4" borderId="1" xfId="0" applyFont="1" applyFill="1" applyBorder="1" applyAlignment="1">
      <alignment horizontal="center" vertical="center" wrapText="1"/>
    </xf>
    <xf numFmtId="0" fontId="9" fillId="4" borderId="0" xfId="0" applyFont="1" applyFill="1" applyBorder="1" applyAlignment="1">
      <alignment horizontal="left" vertical="center" wrapText="1"/>
    </xf>
    <xf numFmtId="0" fontId="4" fillId="0" borderId="1" xfId="0" applyFont="1" applyBorder="1" applyAlignment="1">
      <alignment horizontal="left" vertical="center"/>
    </xf>
    <xf numFmtId="0" fontId="19" fillId="0" borderId="0" xfId="0" applyFont="1" applyFill="1" applyBorder="1" applyAlignment="1">
      <alignment horizontal="left" vertical="top"/>
    </xf>
    <xf numFmtId="0" fontId="27" fillId="0" borderId="0" xfId="0" applyFont="1" applyBorder="1"/>
    <xf numFmtId="0" fontId="18" fillId="0" borderId="0" xfId="0" applyFont="1" applyBorder="1" applyAlignment="1">
      <alignment horizontal="left" vertical="center"/>
    </xf>
    <xf numFmtId="2" fontId="19" fillId="0" borderId="0" xfId="0" applyNumberFormat="1" applyFont="1" applyFill="1" applyBorder="1" applyAlignment="1">
      <alignment horizontal="left" vertical="top"/>
    </xf>
    <xf numFmtId="167" fontId="28" fillId="0" borderId="1" xfId="0" applyNumberFormat="1" applyFont="1" applyFill="1" applyBorder="1" applyAlignment="1">
      <alignment horizontal="left" vertical="top"/>
    </xf>
    <xf numFmtId="167" fontId="28" fillId="0" borderId="3" xfId="0" applyNumberFormat="1" applyFont="1" applyFill="1" applyBorder="1" applyAlignment="1">
      <alignment horizontal="left" vertical="top"/>
    </xf>
    <xf numFmtId="0" fontId="19" fillId="0" borderId="0" xfId="0" applyFont="1" applyFill="1" applyBorder="1" applyAlignment="1">
      <alignment horizontal="center" vertical="top"/>
    </xf>
    <xf numFmtId="0" fontId="28" fillId="0" borderId="0" xfId="0" applyFont="1" applyFill="1" applyBorder="1" applyAlignment="1">
      <alignment horizontal="left" vertical="top"/>
    </xf>
    <xf numFmtId="0" fontId="28" fillId="0" borderId="1" xfId="0" applyFont="1" applyFill="1" applyBorder="1" applyAlignment="1">
      <alignment horizontal="left" vertical="top"/>
    </xf>
    <xf numFmtId="165" fontId="0" fillId="0" borderId="0" xfId="0" applyNumberFormat="1" applyBorder="1"/>
    <xf numFmtId="0" fontId="27" fillId="0" borderId="0" xfId="0" applyFont="1" applyFill="1" applyBorder="1"/>
    <xf numFmtId="0" fontId="19" fillId="0" borderId="0" xfId="0" applyFont="1" applyFill="1" applyBorder="1" applyAlignment="1">
      <alignment horizontal="center"/>
    </xf>
    <xf numFmtId="0" fontId="28" fillId="0" borderId="0" xfId="0" applyFont="1" applyFill="1" applyBorder="1" applyAlignment="1">
      <alignment vertical="top"/>
    </xf>
    <xf numFmtId="2" fontId="28" fillId="0" borderId="0" xfId="0" applyNumberFormat="1" applyFont="1" applyFill="1" applyBorder="1" applyAlignment="1">
      <alignment vertical="top"/>
    </xf>
    <xf numFmtId="167" fontId="29" fillId="0" borderId="0" xfId="2" applyFont="1" applyFill="1" applyBorder="1" applyAlignment="1" applyProtection="1"/>
    <xf numFmtId="0" fontId="19" fillId="0" borderId="0" xfId="0" applyFont="1" applyBorder="1" applyAlignment="1">
      <alignment horizontal="center"/>
    </xf>
    <xf numFmtId="0" fontId="19" fillId="0" borderId="0" xfId="0" applyFont="1" applyBorder="1"/>
    <xf numFmtId="2" fontId="27" fillId="0" borderId="0" xfId="0" applyNumberFormat="1" applyFont="1" applyBorder="1"/>
    <xf numFmtId="0" fontId="27" fillId="0" borderId="0" xfId="0" applyFont="1"/>
    <xf numFmtId="0" fontId="19" fillId="0" borderId="0" xfId="0" applyFont="1"/>
    <xf numFmtId="2" fontId="27" fillId="0" borderId="0" xfId="0" applyNumberFormat="1" applyFont="1"/>
    <xf numFmtId="165" fontId="27" fillId="0" borderId="0" xfId="0" applyNumberFormat="1" applyFont="1"/>
    <xf numFmtId="0" fontId="24" fillId="0" borderId="0" xfId="0" applyFont="1"/>
    <xf numFmtId="0" fontId="19" fillId="0" borderId="0" xfId="0" applyFont="1" applyAlignment="1">
      <alignment horizontal="center"/>
    </xf>
    <xf numFmtId="0" fontId="28" fillId="0" borderId="0" xfId="0" applyFont="1" applyBorder="1"/>
    <xf numFmtId="2" fontId="24" fillId="0" borderId="0" xfId="0" applyNumberFormat="1" applyFont="1"/>
    <xf numFmtId="168" fontId="24" fillId="0" borderId="0" xfId="0" applyNumberFormat="1" applyFont="1"/>
    <xf numFmtId="165" fontId="24" fillId="0" borderId="0" xfId="0" applyNumberFormat="1" applyFont="1"/>
    <xf numFmtId="168" fontId="0" fillId="0" borderId="0" xfId="0" applyNumberFormat="1"/>
    <xf numFmtId="165" fontId="0" fillId="0" borderId="0" xfId="0" applyNumberFormat="1"/>
    <xf numFmtId="0" fontId="21" fillId="0" borderId="0" xfId="0" applyFont="1" applyBorder="1"/>
    <xf numFmtId="0" fontId="14" fillId="0" borderId="0" xfId="0" applyFont="1" applyBorder="1" applyAlignment="1" applyProtection="1">
      <alignment horizontal="left" vertical="center"/>
      <protection locked="0"/>
    </xf>
    <xf numFmtId="0" fontId="30" fillId="0" borderId="0" xfId="0" applyFont="1" applyBorder="1" applyAlignment="1" applyProtection="1">
      <alignment horizontal="left" vertical="center"/>
      <protection locked="0"/>
    </xf>
    <xf numFmtId="0" fontId="31" fillId="0" borderId="0" xfId="0" applyFont="1" applyBorder="1" applyAlignment="1" applyProtection="1">
      <alignment horizontal="left" vertical="center"/>
      <protection locked="0"/>
    </xf>
    <xf numFmtId="0" fontId="13" fillId="3" borderId="6" xfId="17" applyFont="1" applyFill="1" applyBorder="1" applyAlignment="1">
      <alignment horizontal="left" vertical="center" wrapText="1"/>
    </xf>
    <xf numFmtId="0" fontId="9" fillId="0" borderId="1" xfId="0" applyFont="1" applyBorder="1" applyAlignment="1">
      <alignment horizontal="left" vertical="center"/>
    </xf>
    <xf numFmtId="0" fontId="9" fillId="0" borderId="1" xfId="0" applyFont="1" applyFill="1" applyBorder="1" applyAlignment="1">
      <alignment horizontal="left" vertical="center"/>
    </xf>
    <xf numFmtId="2" fontId="20" fillId="0" borderId="1" xfId="0" applyNumberFormat="1" applyFont="1" applyFill="1" applyBorder="1" applyAlignment="1">
      <alignment horizontal="left" vertical="center"/>
    </xf>
    <xf numFmtId="0" fontId="20" fillId="0" borderId="1" xfId="0" applyFont="1" applyFill="1" applyBorder="1" applyAlignment="1">
      <alignment horizontal="left" vertical="center"/>
    </xf>
    <xf numFmtId="0" fontId="20" fillId="0" borderId="1" xfId="0" applyFont="1" applyFill="1" applyBorder="1" applyAlignment="1">
      <alignment horizontal="left" vertical="center" wrapText="1"/>
    </xf>
    <xf numFmtId="0" fontId="3" fillId="0" borderId="1" xfId="0" applyFont="1" applyFill="1" applyBorder="1" applyAlignment="1">
      <alignment horizontal="left"/>
    </xf>
    <xf numFmtId="0" fontId="0" fillId="4" borderId="1" xfId="0" applyFill="1" applyBorder="1" applyAlignment="1">
      <alignment horizontal="left"/>
    </xf>
    <xf numFmtId="0" fontId="0" fillId="0" borderId="1" xfId="0" applyFill="1" applyBorder="1" applyAlignment="1">
      <alignment horizontal="left"/>
    </xf>
    <xf numFmtId="0" fontId="9" fillId="0" borderId="1"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xf>
    <xf numFmtId="166" fontId="9" fillId="0" borderId="0" xfId="9" applyNumberFormat="1" applyFont="1"/>
    <xf numFmtId="164" fontId="9" fillId="0" borderId="9" xfId="4" applyFont="1" applyFill="1" applyBorder="1" applyAlignment="1" applyProtection="1">
      <alignment vertical="center"/>
    </xf>
    <xf numFmtId="164" fontId="9" fillId="0" borderId="0" xfId="4" applyFont="1" applyFill="1" applyBorder="1" applyAlignment="1" applyProtection="1">
      <alignment vertical="center"/>
    </xf>
    <xf numFmtId="0" fontId="18" fillId="3" borderId="1" xfId="0" applyFont="1" applyFill="1" applyBorder="1" applyAlignment="1">
      <alignment horizontal="left" vertical="center"/>
    </xf>
    <xf numFmtId="0" fontId="9" fillId="4" borderId="1" xfId="0" applyFont="1" applyFill="1" applyBorder="1" applyAlignment="1">
      <alignment horizontal="left" vertical="center" wrapText="1"/>
    </xf>
    <xf numFmtId="2" fontId="9" fillId="0" borderId="1" xfId="0" applyNumberFormat="1" applyFont="1" applyFill="1" applyBorder="1" applyAlignment="1">
      <alignment horizontal="left" vertical="center" wrapText="1"/>
    </xf>
    <xf numFmtId="0" fontId="19" fillId="0" borderId="1" xfId="0" applyFont="1" applyBorder="1" applyAlignment="1">
      <alignment horizontal="left" vertical="center"/>
    </xf>
    <xf numFmtId="2" fontId="9" fillId="0" borderId="1" xfId="9" applyNumberFormat="1" applyFont="1" applyFill="1" applyBorder="1" applyAlignment="1">
      <alignment horizontal="left"/>
    </xf>
    <xf numFmtId="0" fontId="9" fillId="4" borderId="1" xfId="9" applyFont="1" applyFill="1" applyBorder="1"/>
    <xf numFmtId="0" fontId="9" fillId="0" borderId="1" xfId="9" applyFont="1" applyFill="1" applyBorder="1"/>
    <xf numFmtId="0" fontId="18" fillId="3" borderId="7" xfId="0" applyFont="1" applyFill="1" applyBorder="1" applyAlignment="1">
      <alignment horizontal="left" vertical="center"/>
    </xf>
    <xf numFmtId="0" fontId="18" fillId="0" borderId="7" xfId="0" applyFont="1" applyBorder="1" applyAlignment="1">
      <alignment horizontal="left" vertical="center"/>
    </xf>
    <xf numFmtId="169" fontId="9" fillId="0" borderId="1" xfId="1" applyNumberFormat="1" applyFont="1" applyFill="1" applyBorder="1" applyAlignment="1" applyProtection="1">
      <alignment horizontal="left" vertical="center"/>
    </xf>
    <xf numFmtId="0" fontId="20" fillId="0" borderId="1" xfId="0" applyFont="1" applyBorder="1" applyAlignment="1">
      <alignment horizontal="left" vertical="center" wrapText="1"/>
    </xf>
    <xf numFmtId="0" fontId="20" fillId="0" borderId="1" xfId="8" applyFont="1" applyFill="1" applyBorder="1" applyAlignment="1">
      <alignment horizontal="center" vertical="center" wrapText="1"/>
    </xf>
    <xf numFmtId="0" fontId="9" fillId="0" borderId="1" xfId="9" applyFont="1" applyBorder="1"/>
    <xf numFmtId="0" fontId="21" fillId="0" borderId="0" xfId="0" applyFont="1" applyBorder="1" applyAlignment="1">
      <alignment horizontal="center"/>
    </xf>
    <xf numFmtId="0" fontId="20" fillId="0" borderId="0" xfId="0" applyFont="1" applyBorder="1"/>
    <xf numFmtId="2" fontId="0" fillId="0" borderId="0" xfId="0" applyNumberFormat="1" applyBorder="1"/>
    <xf numFmtId="0" fontId="19" fillId="6" borderId="1" xfId="0" applyFont="1" applyFill="1" applyBorder="1" applyAlignment="1">
      <alignment horizontal="center" vertical="top"/>
    </xf>
    <xf numFmtId="2" fontId="18" fillId="0" borderId="1" xfId="0" applyNumberFormat="1" applyFont="1" applyBorder="1" applyAlignment="1">
      <alignment horizontal="left" vertical="center"/>
    </xf>
    <xf numFmtId="0" fontId="9" fillId="0" borderId="1" xfId="0" applyFont="1" applyBorder="1" applyAlignment="1">
      <alignment horizontal="left" vertical="center" wrapText="1"/>
    </xf>
    <xf numFmtId="167" fontId="18" fillId="4" borderId="1" xfId="2" applyFont="1" applyFill="1" applyBorder="1" applyAlignment="1" applyProtection="1">
      <alignment horizontal="left" vertical="center"/>
    </xf>
    <xf numFmtId="0" fontId="0" fillId="0" borderId="0" xfId="0" applyFont="1" applyFill="1" applyBorder="1" applyAlignment="1">
      <alignment wrapText="1"/>
    </xf>
    <xf numFmtId="164" fontId="9" fillId="0" borderId="0" xfId="0" applyNumberFormat="1" applyFont="1" applyFill="1" applyBorder="1" applyAlignment="1">
      <alignment horizontal="left" vertical="center"/>
    </xf>
    <xf numFmtId="0" fontId="1" fillId="0" borderId="0" xfId="0" applyFont="1" applyFill="1" applyBorder="1"/>
    <xf numFmtId="0" fontId="32" fillId="0" borderId="0" xfId="0" applyFont="1" applyFill="1" applyBorder="1" applyAlignment="1">
      <alignment wrapText="1"/>
    </xf>
    <xf numFmtId="165" fontId="9" fillId="0" borderId="0" xfId="1" applyFont="1" applyFill="1" applyBorder="1" applyAlignment="1" applyProtection="1">
      <alignment horizontal="left" vertical="center"/>
    </xf>
    <xf numFmtId="167" fontId="18" fillId="0" borderId="7" xfId="2" applyFont="1" applyFill="1" applyBorder="1" applyAlignment="1" applyProtection="1">
      <alignment horizontal="left" vertical="center"/>
    </xf>
    <xf numFmtId="0" fontId="0" fillId="0" borderId="0" xfId="0" applyFont="1" applyFill="1" applyBorder="1"/>
    <xf numFmtId="4" fontId="9" fillId="0" borderId="0" xfId="0" applyNumberFormat="1" applyFont="1" applyFill="1" applyBorder="1" applyAlignment="1">
      <alignment horizontal="left" vertical="center" wrapText="1"/>
    </xf>
    <xf numFmtId="164" fontId="0" fillId="0" borderId="0" xfId="0" applyNumberFormat="1" applyBorder="1"/>
    <xf numFmtId="169" fontId="18" fillId="0" borderId="1" xfId="1" applyNumberFormat="1" applyFont="1" applyFill="1" applyBorder="1" applyAlignment="1" applyProtection="1">
      <alignment horizontal="left" vertical="center"/>
    </xf>
    <xf numFmtId="0" fontId="19" fillId="0" borderId="1" xfId="0" applyFont="1" applyBorder="1" applyAlignment="1">
      <alignment horizontal="left" vertical="center" wrapText="1"/>
    </xf>
    <xf numFmtId="0" fontId="19" fillId="0" borderId="1" xfId="8" applyFont="1" applyFill="1" applyBorder="1" applyAlignment="1">
      <alignment horizontal="center" vertical="center" wrapText="1"/>
    </xf>
    <xf numFmtId="0" fontId="19" fillId="0" borderId="1" xfId="0" applyFont="1" applyFill="1" applyBorder="1" applyAlignment="1">
      <alignment horizontal="left" vertical="top"/>
    </xf>
    <xf numFmtId="0" fontId="27" fillId="0" borderId="1" xfId="0" applyFont="1" applyBorder="1"/>
    <xf numFmtId="2" fontId="19" fillId="0" borderId="1" xfId="0" applyNumberFormat="1" applyFont="1" applyFill="1" applyBorder="1" applyAlignment="1">
      <alignment horizontal="left" vertical="top"/>
    </xf>
    <xf numFmtId="0" fontId="28" fillId="0" borderId="5" xfId="0" applyFont="1" applyFill="1" applyBorder="1" applyAlignment="1">
      <alignment horizontal="left" vertical="top"/>
    </xf>
    <xf numFmtId="167" fontId="28" fillId="0" borderId="0" xfId="0" applyNumberFormat="1" applyFont="1" applyFill="1" applyBorder="1" applyAlignment="1">
      <alignment horizontal="left" vertical="top"/>
    </xf>
    <xf numFmtId="0" fontId="33" fillId="0" borderId="1" xfId="0" applyFont="1" applyBorder="1"/>
    <xf numFmtId="0" fontId="0" fillId="7" borderId="0" xfId="0" applyFont="1" applyFill="1"/>
    <xf numFmtId="0" fontId="1" fillId="7" borderId="0" xfId="0" applyFont="1" applyFill="1"/>
    <xf numFmtId="0" fontId="36" fillId="8" borderId="1" xfId="15" applyFont="1" applyFill="1" applyBorder="1" applyAlignment="1">
      <alignment horizontal="center" vertical="center" wrapText="1"/>
    </xf>
    <xf numFmtId="2" fontId="36" fillId="8" borderId="1" xfId="15" applyNumberFormat="1" applyFont="1" applyFill="1" applyBorder="1" applyAlignment="1">
      <alignment horizontal="center" vertical="center" wrapText="1"/>
    </xf>
    <xf numFmtId="4" fontId="36" fillId="8" borderId="1" xfId="15" applyNumberFormat="1" applyFont="1" applyFill="1" applyBorder="1" applyAlignment="1">
      <alignment horizontal="center" vertical="center" wrapText="1"/>
    </xf>
    <xf numFmtId="0" fontId="37" fillId="3" borderId="1" xfId="15" applyFont="1" applyFill="1" applyBorder="1" applyAlignment="1">
      <alignment horizontal="center" vertical="center" wrapText="1"/>
    </xf>
    <xf numFmtId="0" fontId="37" fillId="3" borderId="1" xfId="15" applyFont="1" applyFill="1" applyBorder="1" applyAlignment="1">
      <alignment horizontal="left" vertical="center" wrapText="1"/>
    </xf>
    <xf numFmtId="4" fontId="37" fillId="3" borderId="1" xfId="15" applyNumberFormat="1" applyFont="1" applyFill="1" applyBorder="1" applyAlignment="1">
      <alignment horizontal="center" vertical="center" wrapText="1"/>
    </xf>
    <xf numFmtId="0" fontId="37" fillId="0" borderId="1" xfId="15" applyFont="1" applyFill="1" applyBorder="1" applyAlignment="1">
      <alignment horizontal="left" vertical="center" wrapText="1"/>
    </xf>
    <xf numFmtId="2" fontId="37" fillId="3" borderId="1" xfId="15" applyNumberFormat="1" applyFont="1" applyFill="1" applyBorder="1" applyAlignment="1">
      <alignment horizontal="left" vertical="center" wrapText="1"/>
    </xf>
    <xf numFmtId="0" fontId="38" fillId="0" borderId="1" xfId="8" applyFont="1" applyBorder="1"/>
    <xf numFmtId="4" fontId="35" fillId="0" borderId="1" xfId="8" applyNumberFormat="1" applyFont="1" applyFill="1" applyBorder="1"/>
    <xf numFmtId="4" fontId="35" fillId="0" borderId="1" xfId="8" applyNumberFormat="1" applyFont="1" applyBorder="1"/>
    <xf numFmtId="0" fontId="39" fillId="3" borderId="1" xfId="15" applyFont="1" applyFill="1" applyBorder="1" applyAlignment="1">
      <alignment horizontal="center" vertical="center" wrapText="1"/>
    </xf>
    <xf numFmtId="0" fontId="40" fillId="3" borderId="1" xfId="15" applyFont="1" applyFill="1" applyBorder="1" applyAlignment="1">
      <alignment horizontal="center" vertical="center" wrapText="1"/>
    </xf>
    <xf numFmtId="2" fontId="40" fillId="3" borderId="1" xfId="15" applyNumberFormat="1" applyFont="1" applyFill="1" applyBorder="1" applyAlignment="1">
      <alignment horizontal="left" vertical="center" wrapText="1"/>
    </xf>
    <xf numFmtId="4" fontId="40" fillId="3" borderId="1" xfId="15" applyNumberFormat="1" applyFont="1" applyFill="1" applyBorder="1" applyAlignment="1">
      <alignment horizontal="center" vertical="center" wrapText="1"/>
    </xf>
    <xf numFmtId="0" fontId="1" fillId="0" borderId="1" xfId="8" applyBorder="1"/>
    <xf numFmtId="0" fontId="42" fillId="3" borderId="1" xfId="15" applyFont="1" applyFill="1" applyBorder="1" applyAlignment="1">
      <alignment horizontal="left" vertical="center" wrapText="1"/>
    </xf>
    <xf numFmtId="0" fontId="37" fillId="2" borderId="1" xfId="15" applyFont="1" applyFill="1" applyBorder="1" applyAlignment="1">
      <alignment horizontal="center" vertical="center" wrapText="1"/>
    </xf>
    <xf numFmtId="0" fontId="37" fillId="2" borderId="1" xfId="15" applyFont="1" applyFill="1" applyBorder="1" applyAlignment="1">
      <alignment horizontal="left" vertical="center" wrapText="1"/>
    </xf>
    <xf numFmtId="170" fontId="37" fillId="2" borderId="1" xfId="15" applyNumberFormat="1" applyFont="1" applyFill="1" applyBorder="1" applyAlignment="1">
      <alignment horizontal="center" vertical="center" wrapText="1"/>
    </xf>
    <xf numFmtId="4" fontId="37" fillId="2" borderId="1" xfId="15" applyNumberFormat="1" applyFont="1" applyFill="1" applyBorder="1" applyAlignment="1">
      <alignment horizontal="center" vertical="center" wrapText="1"/>
    </xf>
    <xf numFmtId="170" fontId="37" fillId="3" borderId="1" xfId="15" applyNumberFormat="1" applyFont="1" applyFill="1" applyBorder="1" applyAlignment="1">
      <alignment horizontal="center" vertical="center" wrapText="1"/>
    </xf>
    <xf numFmtId="167" fontId="37" fillId="3" borderId="1" xfId="2" applyFont="1" applyFill="1" applyBorder="1" applyAlignment="1" applyProtection="1">
      <alignment horizontal="left" vertical="center" wrapText="1"/>
    </xf>
    <xf numFmtId="0" fontId="43" fillId="3" borderId="1" xfId="16" applyFont="1" applyFill="1" applyBorder="1" applyAlignment="1">
      <alignment horizontal="center" vertical="center" wrapText="1"/>
    </xf>
    <xf numFmtId="0" fontId="43" fillId="3" borderId="1" xfId="11" applyFont="1" applyFill="1" applyBorder="1" applyAlignment="1">
      <alignment horizontal="center" vertical="center"/>
    </xf>
    <xf numFmtId="0" fontId="37" fillId="4" borderId="1" xfId="15" applyFont="1" applyFill="1" applyBorder="1" applyAlignment="1">
      <alignment horizontal="left" vertical="center" wrapText="1"/>
    </xf>
    <xf numFmtId="0" fontId="1" fillId="0" borderId="1" xfId="7" applyBorder="1"/>
    <xf numFmtId="0" fontId="44" fillId="4" borderId="1" xfId="7" applyFont="1" applyFill="1" applyBorder="1" applyAlignment="1">
      <alignment horizontal="center"/>
    </xf>
    <xf numFmtId="0" fontId="37" fillId="4" borderId="1" xfId="7" applyFont="1" applyFill="1" applyBorder="1" applyAlignment="1">
      <alignment horizontal="center"/>
    </xf>
    <xf numFmtId="0" fontId="44" fillId="0" borderId="1" xfId="7" applyFont="1" applyBorder="1" applyAlignment="1">
      <alignment horizontal="center"/>
    </xf>
    <xf numFmtId="0" fontId="44" fillId="0" borderId="1" xfId="7" applyFont="1" applyBorder="1"/>
    <xf numFmtId="0" fontId="32" fillId="0" borderId="1" xfId="7" applyFont="1" applyFill="1" applyBorder="1" applyAlignment="1" applyProtection="1">
      <alignment horizontal="left" vertical="center" wrapText="1"/>
    </xf>
    <xf numFmtId="164" fontId="32" fillId="0" borderId="1" xfId="6" applyFont="1" applyFill="1" applyBorder="1" applyAlignment="1" applyProtection="1">
      <alignment horizontal="left" vertical="center" wrapText="1"/>
    </xf>
    <xf numFmtId="164" fontId="43" fillId="0" borderId="1" xfId="11" applyNumberFormat="1" applyFont="1" applyFill="1" applyBorder="1" applyAlignment="1">
      <alignment horizontal="center" vertical="center"/>
    </xf>
    <xf numFmtId="0" fontId="32" fillId="4" borderId="1" xfId="7" applyFont="1" applyFill="1" applyBorder="1" applyAlignment="1" applyProtection="1">
      <alignment horizontal="left" vertical="center" wrapText="1"/>
    </xf>
    <xf numFmtId="167" fontId="32" fillId="0" borderId="1" xfId="2" applyFont="1" applyFill="1" applyBorder="1" applyAlignment="1" applyProtection="1">
      <alignment horizontal="left" vertical="center" wrapText="1"/>
    </xf>
    <xf numFmtId="0" fontId="37" fillId="3" borderId="1" xfId="16" applyFont="1" applyFill="1" applyBorder="1" applyAlignment="1">
      <alignment horizontal="left" vertical="center" wrapText="1"/>
    </xf>
    <xf numFmtId="0" fontId="9" fillId="4" borderId="1" xfId="10" applyFont="1" applyFill="1" applyBorder="1" applyAlignment="1">
      <alignment vertical="center"/>
    </xf>
    <xf numFmtId="0" fontId="45" fillId="4" borderId="1" xfId="16" applyFont="1" applyFill="1" applyBorder="1" applyAlignment="1">
      <alignment horizontal="left" vertical="center" wrapText="1"/>
    </xf>
    <xf numFmtId="0" fontId="40" fillId="4" borderId="1" xfId="15" applyFont="1" applyFill="1" applyBorder="1" applyAlignment="1">
      <alignment horizontal="center" vertical="center" wrapText="1"/>
    </xf>
    <xf numFmtId="171" fontId="40" fillId="4" borderId="1" xfId="15" applyNumberFormat="1" applyFont="1" applyFill="1" applyBorder="1" applyAlignment="1">
      <alignment horizontal="center" vertical="center"/>
    </xf>
    <xf numFmtId="0" fontId="9" fillId="4" borderId="1" xfId="10" applyFont="1" applyFill="1" applyBorder="1"/>
    <xf numFmtId="164" fontId="9" fillId="4" borderId="1" xfId="5" applyFont="1" applyFill="1" applyBorder="1" applyAlignment="1" applyProtection="1"/>
    <xf numFmtId="0" fontId="9" fillId="0" borderId="1" xfId="10" applyFont="1" applyBorder="1" applyAlignment="1">
      <alignment vertical="center"/>
    </xf>
    <xf numFmtId="0" fontId="9" fillId="0" borderId="1" xfId="10" applyFont="1" applyBorder="1" applyAlignment="1"/>
    <xf numFmtId="164" fontId="9" fillId="0" borderId="1" xfId="5" applyFont="1" applyFill="1" applyBorder="1" applyAlignment="1" applyProtection="1"/>
    <xf numFmtId="0" fontId="38" fillId="4" borderId="1" xfId="10" applyFont="1" applyFill="1" applyBorder="1" applyAlignment="1">
      <alignment vertical="center"/>
    </xf>
    <xf numFmtId="0" fontId="40" fillId="4" borderId="1" xfId="15" applyFont="1" applyFill="1" applyBorder="1" applyAlignment="1">
      <alignment horizontal="left" vertical="center" wrapText="1"/>
    </xf>
    <xf numFmtId="0" fontId="40" fillId="3" borderId="1" xfId="15" applyFont="1" applyFill="1" applyBorder="1" applyAlignment="1">
      <alignment horizontal="left" vertical="center" wrapText="1"/>
    </xf>
    <xf numFmtId="167" fontId="40" fillId="3" borderId="1" xfId="2" applyFont="1" applyFill="1" applyBorder="1" applyAlignment="1" applyProtection="1">
      <alignment horizontal="left" vertical="center" wrapText="1"/>
    </xf>
    <xf numFmtId="167" fontId="9" fillId="0" borderId="1" xfId="2" applyFont="1" applyFill="1" applyBorder="1" applyAlignment="1" applyProtection="1"/>
    <xf numFmtId="167" fontId="9" fillId="0" borderId="1" xfId="2" applyFont="1" applyFill="1" applyBorder="1" applyAlignment="1" applyProtection="1">
      <alignment horizontal="center"/>
    </xf>
    <xf numFmtId="0" fontId="9" fillId="0" borderId="1" xfId="10" applyFont="1" applyBorder="1" applyAlignment="1">
      <alignment horizontal="center" vertical="center"/>
    </xf>
    <xf numFmtId="165" fontId="40" fillId="3" borderId="1" xfId="23" applyFont="1" applyFill="1" applyBorder="1" applyAlignment="1" applyProtection="1">
      <alignment horizontal="left" vertical="center" wrapText="1"/>
    </xf>
    <xf numFmtId="0" fontId="9" fillId="0" borderId="1" xfId="10" applyFont="1" applyBorder="1" applyAlignment="1">
      <alignment vertical="center" wrapText="1"/>
    </xf>
    <xf numFmtId="164" fontId="9" fillId="0" borderId="1" xfId="5" applyFont="1" applyFill="1" applyBorder="1" applyAlignment="1" applyProtection="1">
      <alignment horizontal="center"/>
    </xf>
    <xf numFmtId="0" fontId="40" fillId="0" borderId="1" xfId="15" applyFont="1" applyFill="1" applyBorder="1" applyAlignment="1">
      <alignment horizontal="left" vertical="center" wrapText="1"/>
    </xf>
    <xf numFmtId="164" fontId="43" fillId="3" borderId="1" xfId="5" applyFont="1" applyFill="1" applyBorder="1" applyAlignment="1" applyProtection="1">
      <alignment horizontal="center" vertical="center"/>
    </xf>
    <xf numFmtId="0" fontId="37" fillId="0" borderId="0" xfId="15" applyFont="1" applyAlignment="1">
      <alignment horizontal="center" vertical="center" wrapText="1"/>
    </xf>
    <xf numFmtId="0" fontId="37" fillId="0" borderId="0" xfId="15" applyFont="1" applyAlignment="1">
      <alignment horizontal="left" vertical="center" wrapText="1"/>
    </xf>
    <xf numFmtId="172" fontId="37" fillId="0" borderId="0" xfId="15" applyNumberFormat="1" applyFont="1" applyAlignment="1">
      <alignment horizontal="center" vertical="center" wrapText="1"/>
    </xf>
    <xf numFmtId="0" fontId="38" fillId="3" borderId="1" xfId="16" applyFont="1" applyFill="1" applyBorder="1" applyAlignment="1">
      <alignment horizontal="center" vertical="center" wrapText="1"/>
    </xf>
    <xf numFmtId="172" fontId="40" fillId="0" borderId="0" xfId="15" applyNumberFormat="1" applyFont="1" applyAlignment="1">
      <alignment horizontal="center" vertical="center" wrapText="1"/>
    </xf>
    <xf numFmtId="0" fontId="43" fillId="3" borderId="0" xfId="11" applyFont="1" applyFill="1" applyBorder="1" applyAlignment="1">
      <alignment horizontal="center" vertical="center"/>
    </xf>
    <xf numFmtId="0" fontId="46" fillId="0" borderId="0" xfId="9" applyFont="1" applyFill="1" applyBorder="1" applyAlignment="1"/>
    <xf numFmtId="0" fontId="28" fillId="0" borderId="0" xfId="9" applyFont="1" applyFill="1" applyBorder="1" applyAlignment="1" applyProtection="1">
      <alignment vertical="center"/>
      <protection locked="0"/>
    </xf>
    <xf numFmtId="0" fontId="47" fillId="0" borderId="0" xfId="9" applyFont="1" applyBorder="1" applyAlignment="1" applyProtection="1">
      <alignment vertical="center"/>
      <protection locked="0"/>
    </xf>
    <xf numFmtId="0" fontId="9" fillId="0" borderId="0" xfId="9" applyFont="1" applyFill="1" applyBorder="1" applyAlignment="1"/>
    <xf numFmtId="0" fontId="21" fillId="0" borderId="12" xfId="9" applyFont="1" applyBorder="1" applyProtection="1">
      <protection locked="0"/>
    </xf>
    <xf numFmtId="0" fontId="21" fillId="0" borderId="0" xfId="9" applyFont="1" applyBorder="1" applyProtection="1">
      <protection locked="0"/>
    </xf>
    <xf numFmtId="0" fontId="21" fillId="0" borderId="13" xfId="9" applyFont="1" applyBorder="1" applyProtection="1">
      <protection locked="0"/>
    </xf>
    <xf numFmtId="0" fontId="47" fillId="0" borderId="1" xfId="9" applyFont="1" applyBorder="1" applyAlignment="1" applyProtection="1">
      <alignment vertical="center"/>
      <protection locked="0"/>
    </xf>
    <xf numFmtId="0" fontId="47" fillId="0" borderId="1" xfId="9" applyFont="1" applyBorder="1" applyAlignment="1" applyProtection="1">
      <alignment horizontal="center" vertical="center"/>
      <protection locked="0"/>
    </xf>
    <xf numFmtId="0" fontId="47" fillId="3" borderId="1" xfId="9" applyFont="1" applyFill="1" applyBorder="1" applyAlignment="1" applyProtection="1">
      <alignment horizontal="center" vertical="center"/>
      <protection locked="0"/>
    </xf>
    <xf numFmtId="0" fontId="47" fillId="3" borderId="1" xfId="9" applyFont="1" applyFill="1" applyBorder="1" applyAlignment="1" applyProtection="1">
      <alignment vertical="center"/>
      <protection locked="0"/>
    </xf>
    <xf numFmtId="0" fontId="50" fillId="3" borderId="1" xfId="9" applyFont="1" applyFill="1" applyBorder="1" applyAlignment="1" applyProtection="1">
      <alignment horizontal="left" vertical="center"/>
      <protection locked="0"/>
    </xf>
    <xf numFmtId="0" fontId="50" fillId="3" borderId="1" xfId="9" applyFont="1" applyFill="1" applyBorder="1" applyAlignment="1" applyProtection="1">
      <alignment vertical="center"/>
      <protection locked="0"/>
    </xf>
    <xf numFmtId="10" fontId="50" fillId="3" borderId="1" xfId="18" applyNumberFormat="1" applyFont="1" applyFill="1" applyBorder="1" applyAlignment="1" applyProtection="1">
      <alignment vertical="center"/>
      <protection locked="0"/>
    </xf>
    <xf numFmtId="0" fontId="50" fillId="0" borderId="1" xfId="9" applyFont="1" applyBorder="1" applyAlignment="1" applyProtection="1">
      <alignment horizontal="left" vertical="center"/>
      <protection locked="0"/>
    </xf>
    <xf numFmtId="0" fontId="50" fillId="0" borderId="1" xfId="9" applyFont="1" applyBorder="1" applyAlignment="1" applyProtection="1">
      <alignment vertical="center"/>
      <protection locked="0"/>
    </xf>
    <xf numFmtId="10" fontId="50" fillId="0" borderId="1" xfId="18" applyNumberFormat="1" applyFont="1" applyFill="1" applyBorder="1" applyAlignment="1" applyProtection="1">
      <alignment vertical="center"/>
    </xf>
    <xf numFmtId="10" fontId="9" fillId="0" borderId="0" xfId="9" applyNumberFormat="1" applyFont="1"/>
    <xf numFmtId="0" fontId="50" fillId="0" borderId="12" xfId="9" applyFont="1" applyBorder="1" applyAlignment="1" applyProtection="1">
      <alignment vertical="center"/>
      <protection locked="0"/>
    </xf>
    <xf numFmtId="0" fontId="47" fillId="0" borderId="0" xfId="9" applyFont="1" applyBorder="1" applyAlignment="1" applyProtection="1">
      <alignment horizontal="center" vertical="center"/>
      <protection locked="0"/>
    </xf>
    <xf numFmtId="0" fontId="50" fillId="0" borderId="14" xfId="9" applyFont="1" applyBorder="1" applyAlignment="1" applyProtection="1">
      <alignment vertical="center"/>
      <protection locked="0"/>
    </xf>
    <xf numFmtId="10" fontId="50" fillId="0" borderId="13" xfId="18" applyNumberFormat="1" applyFont="1" applyFill="1" applyBorder="1" applyAlignment="1" applyProtection="1">
      <alignment vertical="center"/>
    </xf>
    <xf numFmtId="0" fontId="50" fillId="0" borderId="15" xfId="9" applyFont="1" applyBorder="1" applyAlignment="1" applyProtection="1">
      <alignment vertical="center"/>
      <protection locked="0"/>
    </xf>
    <xf numFmtId="0" fontId="47" fillId="0" borderId="6" xfId="9" applyFont="1" applyBorder="1" applyAlignment="1" applyProtection="1">
      <alignment vertical="center"/>
      <protection locked="0"/>
    </xf>
    <xf numFmtId="0" fontId="47" fillId="0" borderId="9" xfId="9" applyFont="1" applyBorder="1" applyAlignment="1" applyProtection="1">
      <alignment horizontal="center" vertical="center"/>
      <protection locked="0"/>
    </xf>
    <xf numFmtId="10" fontId="47" fillId="0" borderId="16" xfId="18" applyNumberFormat="1" applyFont="1" applyFill="1" applyBorder="1" applyAlignment="1" applyProtection="1">
      <alignment horizontal="right" vertical="center"/>
    </xf>
    <xf numFmtId="10" fontId="47" fillId="0" borderId="13" xfId="18" applyNumberFormat="1" applyFont="1" applyFill="1" applyBorder="1" applyAlignment="1" applyProtection="1">
      <alignment horizontal="right" vertical="center"/>
    </xf>
    <xf numFmtId="0" fontId="50" fillId="3" borderId="12" xfId="9" applyFont="1" applyFill="1" applyBorder="1" applyAlignment="1" applyProtection="1">
      <alignment vertical="center"/>
      <protection locked="0"/>
    </xf>
    <xf numFmtId="0" fontId="47" fillId="3" borderId="0" xfId="9" applyFont="1" applyFill="1" applyBorder="1" applyAlignment="1" applyProtection="1">
      <alignment horizontal="center" vertical="center"/>
      <protection locked="0"/>
    </xf>
    <xf numFmtId="0" fontId="50" fillId="3" borderId="0" xfId="9" applyFont="1" applyFill="1" applyBorder="1" applyAlignment="1" applyProtection="1">
      <alignment vertical="center"/>
      <protection locked="0"/>
    </xf>
    <xf numFmtId="0" fontId="50" fillId="3" borderId="13" xfId="9" applyFont="1" applyFill="1" applyBorder="1" applyAlignment="1" applyProtection="1">
      <alignment vertical="center"/>
      <protection locked="0"/>
    </xf>
    <xf numFmtId="0" fontId="50" fillId="0" borderId="18" xfId="9" applyFont="1" applyBorder="1" applyAlignment="1" applyProtection="1">
      <alignment vertical="center"/>
      <protection locked="0"/>
    </xf>
    <xf numFmtId="0" fontId="50" fillId="0" borderId="19" xfId="9" applyFont="1" applyBorder="1" applyAlignment="1" applyProtection="1">
      <alignment vertical="center"/>
      <protection locked="0"/>
    </xf>
    <xf numFmtId="0" fontId="50" fillId="0" borderId="19" xfId="9" applyFont="1" applyBorder="1" applyAlignment="1" applyProtection="1">
      <alignment horizontal="right" vertical="center"/>
      <protection locked="0"/>
    </xf>
    <xf numFmtId="10" fontId="47" fillId="3" borderId="1" xfId="18" applyNumberFormat="1" applyFont="1" applyFill="1" applyBorder="1" applyAlignment="1" applyProtection="1">
      <alignment vertical="center"/>
    </xf>
    <xf numFmtId="10" fontId="47" fillId="3" borderId="13" xfId="18" applyNumberFormat="1" applyFont="1" applyFill="1" applyBorder="1" applyAlignment="1" applyProtection="1">
      <alignment vertical="center"/>
    </xf>
    <xf numFmtId="0" fontId="47" fillId="3" borderId="12" xfId="9" applyFont="1" applyFill="1" applyBorder="1" applyAlignment="1" applyProtection="1">
      <alignment vertical="center"/>
      <protection locked="0"/>
    </xf>
    <xf numFmtId="0" fontId="50" fillId="3" borderId="0" xfId="9" applyFont="1" applyFill="1" applyBorder="1" applyAlignment="1" applyProtection="1">
      <alignment horizontal="left" vertical="center"/>
      <protection locked="0"/>
    </xf>
    <xf numFmtId="10" fontId="47" fillId="3" borderId="13" xfId="9" applyNumberFormat="1" applyFont="1" applyFill="1" applyBorder="1" applyAlignment="1" applyProtection="1">
      <alignment vertical="center"/>
      <protection locked="0"/>
    </xf>
    <xf numFmtId="0" fontId="21" fillId="3" borderId="12" xfId="9" applyFont="1" applyFill="1" applyBorder="1" applyProtection="1">
      <protection locked="0"/>
    </xf>
    <xf numFmtId="0" fontId="21" fillId="3" borderId="0" xfId="9" applyFont="1" applyFill="1" applyBorder="1" applyProtection="1">
      <protection locked="0"/>
    </xf>
    <xf numFmtId="0" fontId="21" fillId="3" borderId="0" xfId="9" applyFont="1" applyFill="1" applyBorder="1" applyAlignment="1" applyProtection="1">
      <alignment horizontal="center"/>
      <protection locked="0"/>
    </xf>
    <xf numFmtId="10" fontId="21" fillId="3" borderId="13" xfId="9" applyNumberFormat="1" applyFont="1" applyFill="1" applyBorder="1" applyAlignment="1" applyProtection="1">
      <alignment vertical="center"/>
      <protection locked="0"/>
    </xf>
    <xf numFmtId="0" fontId="21" fillId="3" borderId="0" xfId="9" applyFont="1" applyFill="1" applyBorder="1" applyAlignment="1" applyProtection="1">
      <alignment horizontal="center" vertical="top"/>
      <protection locked="0"/>
    </xf>
    <xf numFmtId="0" fontId="21" fillId="3" borderId="13" xfId="9" applyFont="1" applyFill="1" applyBorder="1" applyAlignment="1" applyProtection="1">
      <alignment vertical="center"/>
      <protection locked="0"/>
    </xf>
    <xf numFmtId="0" fontId="21" fillId="3" borderId="20" xfId="9" applyFont="1" applyFill="1" applyBorder="1" applyProtection="1">
      <protection locked="0"/>
    </xf>
    <xf numFmtId="0" fontId="21" fillId="3" borderId="21" xfId="9" applyFont="1" applyFill="1" applyBorder="1" applyProtection="1">
      <protection locked="0"/>
    </xf>
    <xf numFmtId="0" fontId="21" fillId="3" borderId="21" xfId="9" applyFont="1" applyFill="1" applyBorder="1" applyAlignment="1" applyProtection="1">
      <alignment horizontal="center" vertical="center" wrapText="1"/>
      <protection locked="0"/>
    </xf>
    <xf numFmtId="0" fontId="33" fillId="3" borderId="22" xfId="9" applyFont="1" applyFill="1" applyBorder="1" applyAlignment="1" applyProtection="1">
      <alignment horizontal="center" vertical="center" wrapText="1"/>
      <protection locked="0"/>
    </xf>
    <xf numFmtId="0" fontId="21" fillId="0" borderId="0" xfId="9" applyFont="1" applyProtection="1">
      <protection locked="0"/>
    </xf>
    <xf numFmtId="0" fontId="51" fillId="0" borderId="0" xfId="0" applyFont="1" applyBorder="1" applyAlignment="1">
      <alignment horizontal="center"/>
    </xf>
    <xf numFmtId="0" fontId="52" fillId="0" borderId="0" xfId="0" applyFont="1" applyFill="1" applyBorder="1" applyAlignment="1">
      <alignment horizontal="center"/>
    </xf>
    <xf numFmtId="0" fontId="51" fillId="0" borderId="1" xfId="0" applyFont="1" applyBorder="1" applyAlignment="1">
      <alignment horizontal="center" vertical="center"/>
    </xf>
    <xf numFmtId="0" fontId="1" fillId="0" borderId="0" xfId="0" applyFont="1" applyBorder="1" applyAlignment="1">
      <alignment vertical="center"/>
    </xf>
    <xf numFmtId="9" fontId="0" fillId="0" borderId="0" xfId="3" applyFont="1" applyFill="1" applyBorder="1" applyAlignment="1" applyProtection="1">
      <alignment vertical="center"/>
    </xf>
    <xf numFmtId="0" fontId="53" fillId="4" borderId="0" xfId="0" applyFont="1" applyFill="1" applyBorder="1" applyAlignment="1">
      <alignment horizontal="center" vertical="center"/>
    </xf>
    <xf numFmtId="0" fontId="9" fillId="4" borderId="0" xfId="0" applyFont="1" applyFill="1" applyBorder="1" applyAlignment="1">
      <alignment horizontal="center" vertical="center"/>
    </xf>
    <xf numFmtId="10" fontId="53" fillId="0" borderId="0" xfId="3" applyNumberFormat="1" applyFont="1" applyFill="1" applyBorder="1" applyAlignment="1" applyProtection="1">
      <alignment horizontal="center" vertical="center"/>
    </xf>
    <xf numFmtId="10" fontId="9" fillId="0" borderId="0" xfId="0" applyNumberFormat="1" applyFont="1" applyBorder="1" applyAlignment="1">
      <alignment horizontal="left" vertical="center"/>
    </xf>
    <xf numFmtId="0" fontId="9" fillId="0" borderId="0" xfId="0" applyFont="1" applyBorder="1" applyAlignment="1">
      <alignment horizontal="center" vertical="center"/>
    </xf>
    <xf numFmtId="0" fontId="18" fillId="0" borderId="1" xfId="0" applyFont="1" applyBorder="1" applyAlignment="1">
      <alignment vertical="center" wrapText="1"/>
    </xf>
    <xf numFmtId="0" fontId="1" fillId="0" borderId="1" xfId="0" applyFont="1" applyBorder="1"/>
    <xf numFmtId="0" fontId="1" fillId="0" borderId="1" xfId="0" applyFont="1" applyFill="1" applyBorder="1" applyAlignment="1">
      <alignment wrapText="1"/>
    </xf>
    <xf numFmtId="0" fontId="18" fillId="0" borderId="1" xfId="0" applyFont="1" applyBorder="1" applyAlignment="1">
      <alignment vertical="center"/>
    </xf>
    <xf numFmtId="0" fontId="0" fillId="0" borderId="1" xfId="0" applyFont="1" applyBorder="1"/>
    <xf numFmtId="0" fontId="18" fillId="0" borderId="1" xfId="0" applyFont="1" applyBorder="1"/>
    <xf numFmtId="0" fontId="1" fillId="0" borderId="0" xfId="0" applyFont="1" applyBorder="1" applyAlignment="1">
      <alignment wrapText="1"/>
    </xf>
    <xf numFmtId="164" fontId="0" fillId="0" borderId="0" xfId="0" applyNumberFormat="1" applyFill="1" applyBorder="1"/>
    <xf numFmtId="2" fontId="9" fillId="0" borderId="0" xfId="0" applyNumberFormat="1" applyFont="1" applyFill="1" applyBorder="1" applyAlignment="1">
      <alignment horizontal="left" vertical="center"/>
    </xf>
    <xf numFmtId="165" fontId="18" fillId="4" borderId="1" xfId="1" applyFont="1" applyFill="1" applyBorder="1" applyAlignment="1" applyProtection="1">
      <alignment horizontal="left" vertical="center"/>
    </xf>
    <xf numFmtId="0" fontId="9" fillId="4" borderId="0" xfId="0" applyFont="1" applyFill="1" applyBorder="1" applyAlignment="1">
      <alignment horizontal="center" vertical="center" wrapText="1"/>
    </xf>
    <xf numFmtId="173" fontId="53" fillId="0" borderId="0" xfId="3" applyNumberFormat="1" applyFont="1" applyFill="1" applyBorder="1" applyAlignment="1" applyProtection="1">
      <alignment horizontal="center" vertical="center"/>
    </xf>
    <xf numFmtId="0" fontId="51" fillId="0" borderId="0" xfId="0" applyFont="1" applyAlignment="1">
      <alignment horizontal="center"/>
    </xf>
    <xf numFmtId="0" fontId="0" fillId="0" borderId="0" xfId="0" applyAlignment="1">
      <alignment horizontal="center"/>
    </xf>
    <xf numFmtId="0" fontId="5" fillId="2" borderId="1" xfId="0" applyFont="1" applyFill="1" applyBorder="1" applyAlignment="1">
      <alignment horizontal="center"/>
    </xf>
    <xf numFmtId="0" fontId="6" fillId="2" borderId="1" xfId="0" applyFont="1" applyFill="1" applyBorder="1" applyAlignment="1">
      <alignment horizontal="center"/>
    </xf>
    <xf numFmtId="0" fontId="0" fillId="2" borderId="1" xfId="0" applyFill="1" applyBorder="1" applyAlignment="1">
      <alignment horizontal="center"/>
    </xf>
    <xf numFmtId="0" fontId="7" fillId="0" borderId="1" xfId="0" applyFont="1" applyFill="1" applyBorder="1" applyAlignment="1">
      <alignment horizontal="center"/>
    </xf>
    <xf numFmtId="0" fontId="2" fillId="0" borderId="1" xfId="0" applyFont="1" applyFill="1" applyBorder="1" applyAlignment="1">
      <alignment horizontal="left" vertical="center" wrapText="1"/>
    </xf>
    <xf numFmtId="0" fontId="10" fillId="2" borderId="2" xfId="0" applyFont="1" applyFill="1" applyBorder="1" applyAlignment="1">
      <alignment horizontal="center"/>
    </xf>
    <xf numFmtId="0" fontId="10" fillId="2" borderId="1" xfId="0" applyFont="1" applyFill="1" applyBorder="1" applyAlignment="1">
      <alignment horizontal="center"/>
    </xf>
    <xf numFmtId="0" fontId="13" fillId="3" borderId="1" xfId="17" applyFont="1" applyFill="1" applyBorder="1" applyAlignment="1">
      <alignment horizontal="left" vertical="center" wrapText="1"/>
    </xf>
    <xf numFmtId="0" fontId="12" fillId="0" borderId="0" xfId="9" applyFont="1" applyFill="1" applyBorder="1" applyAlignment="1">
      <alignment horizontal="center"/>
    </xf>
    <xf numFmtId="0" fontId="15" fillId="3" borderId="1" xfId="17" applyFont="1" applyFill="1" applyBorder="1" applyAlignment="1">
      <alignment horizontal="left" vertical="center" wrapText="1"/>
    </xf>
    <xf numFmtId="0" fontId="17" fillId="0" borderId="1" xfId="9" applyFont="1" applyBorder="1" applyAlignment="1">
      <alignment horizontal="center"/>
    </xf>
    <xf numFmtId="0" fontId="14" fillId="0" borderId="1" xfId="9" applyFont="1" applyBorder="1" applyAlignment="1">
      <alignment horizontal="center" vertical="center"/>
    </xf>
    <xf numFmtId="0" fontId="14" fillId="0" borderId="1" xfId="9" applyFont="1" applyFill="1" applyBorder="1" applyAlignment="1">
      <alignment horizontal="center" vertical="center"/>
    </xf>
    <xf numFmtId="0" fontId="14" fillId="0" borderId="1" xfId="9" applyFont="1" applyBorder="1" applyAlignment="1">
      <alignment horizontal="left" vertical="center"/>
    </xf>
    <xf numFmtId="0" fontId="14" fillId="0" borderId="0" xfId="9" applyFont="1" applyFill="1" applyBorder="1" applyAlignment="1">
      <alignment horizontal="center" vertical="center"/>
    </xf>
    <xf numFmtId="164" fontId="9" fillId="4" borderId="1" xfId="4" applyFont="1" applyFill="1" applyBorder="1" applyAlignment="1" applyProtection="1">
      <alignment horizontal="left" vertical="center"/>
    </xf>
    <xf numFmtId="164" fontId="9" fillId="0" borderId="1" xfId="4" applyFont="1" applyFill="1" applyBorder="1" applyAlignment="1" applyProtection="1">
      <alignment horizontal="left" vertical="center" wrapText="1"/>
    </xf>
    <xf numFmtId="164" fontId="20" fillId="0" borderId="1" xfId="4" applyFont="1" applyFill="1" applyBorder="1" applyAlignment="1" applyProtection="1">
      <alignment horizontal="left" vertical="center"/>
    </xf>
    <xf numFmtId="164" fontId="20" fillId="4" borderId="1" xfId="4" applyFont="1" applyFill="1" applyBorder="1" applyAlignment="1" applyProtection="1">
      <alignment horizontal="left" vertical="center"/>
    </xf>
    <xf numFmtId="164" fontId="21" fillId="0" borderId="1" xfId="4" applyFont="1" applyFill="1" applyBorder="1" applyAlignment="1" applyProtection="1">
      <alignment horizontal="left" vertical="center"/>
    </xf>
    <xf numFmtId="164" fontId="20" fillId="0" borderId="1" xfId="4" applyFont="1" applyFill="1" applyBorder="1" applyAlignment="1" applyProtection="1">
      <alignment horizontal="left" vertical="center" wrapText="1"/>
    </xf>
    <xf numFmtId="9" fontId="20" fillId="0" borderId="1" xfId="4" applyNumberFormat="1" applyFont="1" applyFill="1" applyBorder="1" applyAlignment="1" applyProtection="1">
      <alignment horizontal="left" vertical="center" wrapText="1"/>
    </xf>
    <xf numFmtId="165" fontId="4" fillId="0" borderId="1" xfId="1" applyFont="1" applyFill="1" applyBorder="1" applyAlignment="1" applyProtection="1">
      <alignment horizontal="left" vertical="center"/>
    </xf>
    <xf numFmtId="165" fontId="4" fillId="0" borderId="1" xfId="1" applyFont="1" applyFill="1" applyBorder="1" applyAlignment="1" applyProtection="1">
      <alignment horizontal="center" vertical="center"/>
    </xf>
    <xf numFmtId="9" fontId="20" fillId="4" borderId="1" xfId="4" applyNumberFormat="1" applyFont="1" applyFill="1" applyBorder="1" applyAlignment="1" applyProtection="1">
      <alignment horizontal="left" vertical="center" wrapText="1"/>
    </xf>
    <xf numFmtId="0" fontId="10" fillId="2" borderId="0" xfId="0" applyFont="1" applyFill="1" applyBorder="1" applyAlignment="1">
      <alignment horizontal="center"/>
    </xf>
    <xf numFmtId="0" fontId="23" fillId="0" borderId="1" xfId="0" applyFont="1" applyFill="1" applyBorder="1" applyAlignment="1">
      <alignment horizontal="left" wrapText="1"/>
    </xf>
    <xf numFmtId="0" fontId="25"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2" fontId="25" fillId="6" borderId="1" xfId="0" applyNumberFormat="1" applyFont="1" applyFill="1" applyBorder="1" applyAlignment="1">
      <alignment horizontal="center" vertical="center" wrapText="1"/>
    </xf>
    <xf numFmtId="2" fontId="18" fillId="6" borderId="1" xfId="0" applyNumberFormat="1" applyFont="1" applyFill="1" applyBorder="1" applyAlignment="1">
      <alignment horizontal="center" vertical="center" wrapText="1"/>
    </xf>
    <xf numFmtId="0" fontId="26" fillId="6" borderId="1" xfId="0" applyFont="1" applyFill="1" applyBorder="1" applyAlignment="1">
      <alignment horizontal="center"/>
    </xf>
    <xf numFmtId="0" fontId="0" fillId="0" borderId="0" xfId="0"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13" fillId="3" borderId="3" xfId="17" applyFont="1" applyFill="1" applyBorder="1" applyAlignment="1">
      <alignment horizontal="left" vertical="center" wrapText="1"/>
    </xf>
    <xf numFmtId="0" fontId="14" fillId="0" borderId="7" xfId="9" applyFont="1" applyBorder="1" applyAlignment="1">
      <alignment horizontal="center" vertical="center"/>
    </xf>
    <xf numFmtId="0" fontId="14" fillId="0" borderId="8" xfId="9" applyFont="1" applyFill="1" applyBorder="1" applyAlignment="1">
      <alignment horizontal="center" vertical="center"/>
    </xf>
    <xf numFmtId="0" fontId="14" fillId="0" borderId="7" xfId="9" applyFont="1" applyFill="1" applyBorder="1" applyAlignment="1">
      <alignment horizontal="center" vertical="center"/>
    </xf>
    <xf numFmtId="164" fontId="9" fillId="0" borderId="1" xfId="4" applyFont="1" applyFill="1" applyBorder="1" applyAlignment="1" applyProtection="1">
      <alignment horizontal="left" vertical="center"/>
    </xf>
    <xf numFmtId="164" fontId="9" fillId="4" borderId="1" xfId="4" applyFont="1" applyFill="1" applyBorder="1" applyAlignment="1" applyProtection="1">
      <alignment horizontal="left" vertical="center" wrapText="1"/>
    </xf>
    <xf numFmtId="9" fontId="9" fillId="0" borderId="1" xfId="4" applyNumberFormat="1" applyFont="1" applyFill="1" applyBorder="1" applyAlignment="1" applyProtection="1">
      <alignment horizontal="left" vertical="center"/>
    </xf>
    <xf numFmtId="9" fontId="9" fillId="0" borderId="1" xfId="4" applyNumberFormat="1" applyFont="1" applyFill="1" applyBorder="1" applyAlignment="1" applyProtection="1">
      <alignment horizontal="left" vertical="center" wrapText="1"/>
    </xf>
    <xf numFmtId="0" fontId="17" fillId="0" borderId="0" xfId="0" applyFont="1" applyFill="1" applyBorder="1" applyAlignment="1">
      <alignment horizontal="left" vertical="center" wrapText="1"/>
    </xf>
    <xf numFmtId="0" fontId="23" fillId="0" borderId="0" xfId="0" applyFont="1" applyFill="1" applyBorder="1" applyAlignment="1">
      <alignment horizontal="center"/>
    </xf>
    <xf numFmtId="0" fontId="28" fillId="6"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2" fontId="19" fillId="6" borderId="1" xfId="0" applyNumberFormat="1" applyFont="1" applyFill="1" applyBorder="1" applyAlignment="1">
      <alignment horizontal="center" vertical="center" wrapText="1"/>
    </xf>
    <xf numFmtId="0" fontId="27" fillId="6" borderId="1" xfId="0" applyFont="1" applyFill="1" applyBorder="1" applyAlignment="1">
      <alignment horizontal="center"/>
    </xf>
    <xf numFmtId="0" fontId="34" fillId="7" borderId="1" xfId="7" applyFont="1" applyFill="1" applyBorder="1" applyAlignment="1">
      <alignment horizontal="center"/>
    </xf>
    <xf numFmtId="0" fontId="28" fillId="7" borderId="1" xfId="11" applyFont="1" applyFill="1" applyBorder="1" applyAlignment="1" applyProtection="1">
      <alignment horizontal="left" vertical="center" wrapText="1"/>
      <protection locked="0"/>
    </xf>
    <xf numFmtId="0" fontId="7" fillId="7" borderId="1" xfId="7" applyFont="1" applyFill="1" applyBorder="1" applyAlignment="1">
      <alignment horizontal="center" vertical="center"/>
    </xf>
    <xf numFmtId="0" fontId="35" fillId="2" borderId="1" xfId="15" applyFont="1" applyFill="1" applyBorder="1" applyAlignment="1">
      <alignment horizontal="left" vertical="center" wrapText="1"/>
    </xf>
    <xf numFmtId="0" fontId="37" fillId="0" borderId="1" xfId="15" applyFont="1" applyFill="1" applyBorder="1" applyAlignment="1">
      <alignment horizontal="left" vertical="center" wrapText="1"/>
    </xf>
    <xf numFmtId="0" fontId="37" fillId="3" borderId="1" xfId="15" applyFont="1" applyFill="1" applyBorder="1" applyAlignment="1">
      <alignment horizontal="left" vertical="center" wrapText="1"/>
    </xf>
    <xf numFmtId="0" fontId="41" fillId="2" borderId="1" xfId="15" applyFont="1" applyFill="1" applyBorder="1" applyAlignment="1">
      <alignment horizontal="left" vertical="center" wrapText="1"/>
    </xf>
    <xf numFmtId="0" fontId="3" fillId="4" borderId="1" xfId="7" applyFont="1" applyFill="1" applyBorder="1" applyAlignment="1">
      <alignment horizontal="left" wrapText="1"/>
    </xf>
    <xf numFmtId="0" fontId="37" fillId="3" borderId="1" xfId="16" applyFont="1" applyFill="1" applyBorder="1" applyAlignment="1">
      <alignment horizontal="left" vertical="center" wrapText="1"/>
    </xf>
    <xf numFmtId="0" fontId="17" fillId="0" borderId="1" xfId="9" applyFont="1" applyFill="1" applyBorder="1" applyAlignment="1">
      <alignment horizontal="center"/>
    </xf>
    <xf numFmtId="0" fontId="48" fillId="0" borderId="10" xfId="9" applyFont="1" applyFill="1" applyBorder="1" applyAlignment="1" applyProtection="1">
      <alignment horizontal="left" vertical="center" wrapText="1"/>
      <protection locked="0"/>
    </xf>
    <xf numFmtId="0" fontId="33" fillId="0" borderId="11" xfId="9" applyFont="1" applyBorder="1" applyAlignment="1" applyProtection="1">
      <alignment horizontal="left" vertical="center" wrapText="1"/>
      <protection locked="0"/>
    </xf>
    <xf numFmtId="0" fontId="50" fillId="3" borderId="17" xfId="9" applyFont="1" applyFill="1" applyBorder="1" applyAlignment="1" applyProtection="1">
      <alignment horizontal="left" vertical="center"/>
      <protection locked="0"/>
    </xf>
    <xf numFmtId="0" fontId="52" fillId="0" borderId="0" xfId="0" applyFont="1" applyFill="1" applyBorder="1" applyAlignment="1">
      <alignment horizontal="left" wrapText="1"/>
    </xf>
    <xf numFmtId="0" fontId="5" fillId="0" borderId="0" xfId="0" applyFont="1" applyFill="1" applyBorder="1" applyAlignment="1">
      <alignment horizontal="center"/>
    </xf>
    <xf numFmtId="0" fontId="55" fillId="0" borderId="0" xfId="0" applyNumberFormat="1" applyFont="1" applyAlignment="1">
      <alignment vertical="top" wrapText="1"/>
    </xf>
    <xf numFmtId="0" fontId="0" fillId="0" borderId="0" xfId="0" applyNumberFormat="1" applyAlignment="1">
      <alignment vertical="top" wrapText="1"/>
    </xf>
    <xf numFmtId="0" fontId="0" fillId="0" borderId="23" xfId="0" applyNumberFormat="1" applyBorder="1" applyAlignment="1">
      <alignment vertical="top" wrapText="1"/>
    </xf>
    <xf numFmtId="0" fontId="0" fillId="0" borderId="24" xfId="0" applyNumberFormat="1" applyBorder="1" applyAlignment="1">
      <alignment vertical="top" wrapText="1"/>
    </xf>
    <xf numFmtId="0" fontId="55"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24" xfId="0" applyNumberFormat="1" applyBorder="1" applyAlignment="1">
      <alignment horizontal="center" vertical="top" wrapText="1"/>
    </xf>
    <xf numFmtId="0" fontId="0" fillId="0" borderId="25" xfId="0" applyNumberFormat="1" applyBorder="1" applyAlignment="1">
      <alignment horizontal="center" vertical="top" wrapText="1"/>
    </xf>
  </cellXfs>
  <cellStyles count="25">
    <cellStyle name="Moeda" xfId="2" builtinId="4"/>
    <cellStyle name="Moeda 2" xfId="4"/>
    <cellStyle name="Moeda 2 4" xfId="5"/>
    <cellStyle name="Moeda 4" xfId="6"/>
    <cellStyle name="Normal" xfId="0" builtinId="0"/>
    <cellStyle name="Normal 10 2" xfId="7"/>
    <cellStyle name="Normal 2" xfId="8"/>
    <cellStyle name="Normal 3" xfId="9"/>
    <cellStyle name="Normal 3 2 3" xfId="10"/>
    <cellStyle name="Normal 3 4" xfId="11"/>
    <cellStyle name="Normal 4" xfId="12"/>
    <cellStyle name="Normal 5" xfId="13"/>
    <cellStyle name="Normal 6" xfId="14"/>
    <cellStyle name="Normal_Pesquisa no referencial 10 de maio de 2013" xfId="15"/>
    <cellStyle name="Normal_Pesquisa no referencial 10 de maio de 2013 2" xfId="16"/>
    <cellStyle name="Normal_Plan1" xfId="17"/>
    <cellStyle name="Porcentagem" xfId="3" builtinId="5"/>
    <cellStyle name="Porcentagem 2" xfId="18"/>
    <cellStyle name="Porcentagem 2 2" xfId="19"/>
    <cellStyle name="Separador de milhares 2" xfId="20"/>
    <cellStyle name="Separador de milhares 2 2" xfId="21"/>
    <cellStyle name="Vírgula" xfId="1" builtinId="3"/>
    <cellStyle name="Vírgula 2" xfId="22"/>
    <cellStyle name="Vírgula 2 2" xfId="23"/>
    <cellStyle name="Vírgula 3" xfId="24"/>
  </cellStyles>
  <dxfs count="35">
    <dxf>
      <font>
        <b val="0"/>
        <condense val="0"/>
        <extend val="0"/>
        <color indexed="8"/>
      </font>
      <fill>
        <patternFill patternType="solid">
          <fgColor indexed="21"/>
          <bgColor indexed="17"/>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60"/>
          <bgColor indexed="10"/>
        </patternFill>
      </fill>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
      <font>
        <b val="0"/>
        <condense val="0"/>
        <extend val="0"/>
        <color indexed="8"/>
      </font>
      <border>
        <left style="thin">
          <color indexed="8"/>
        </left>
        <right style="thin">
          <color indexed="8"/>
        </right>
        <top style="thin">
          <color indexed="8"/>
        </top>
        <bottom style="thin">
          <color indexed="8"/>
        </bottom>
      </border>
    </dxf>
    <dxf>
      <font>
        <b/>
        <i val="0"/>
        <condense val="0"/>
        <extend val="0"/>
        <color indexed="8"/>
      </font>
      <fill>
        <patternFill patternType="solid">
          <fgColor indexed="24"/>
          <bgColor indexed="22"/>
        </patternFill>
      </fill>
      <border>
        <left style="thin">
          <color indexed="8"/>
        </left>
        <right style="thin">
          <color indexed="8"/>
        </right>
        <top style="thin">
          <color indexed="8"/>
        </top>
        <bottom style="thin">
          <color indexed="8"/>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B2B2B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wmf"/></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76200</xdr:rowOff>
    </xdr:from>
    <xdr:to>
      <xdr:col>1</xdr:col>
      <xdr:colOff>47625</xdr:colOff>
      <xdr:row>1</xdr:row>
      <xdr:rowOff>133350</xdr:rowOff>
    </xdr:to>
    <xdr:pic>
      <xdr:nvPicPr>
        <xdr:cNvPr id="1025"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76200"/>
          <a:ext cx="390525" cy="390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476250</xdr:colOff>
      <xdr:row>0</xdr:row>
      <xdr:rowOff>76200</xdr:rowOff>
    </xdr:from>
    <xdr:to>
      <xdr:col>2</xdr:col>
      <xdr:colOff>1362075</xdr:colOff>
      <xdr:row>2</xdr:row>
      <xdr:rowOff>257175</xdr:rowOff>
    </xdr:to>
    <xdr:pic>
      <xdr:nvPicPr>
        <xdr:cNvPr id="2049"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95600" y="76200"/>
          <a:ext cx="88582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57150</xdr:rowOff>
    </xdr:from>
    <xdr:to>
      <xdr:col>2</xdr:col>
      <xdr:colOff>885825</xdr:colOff>
      <xdr:row>4</xdr:row>
      <xdr:rowOff>66675</xdr:rowOff>
    </xdr:to>
    <xdr:pic>
      <xdr:nvPicPr>
        <xdr:cNvPr id="3073"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8300" y="57150"/>
          <a:ext cx="885825" cy="9334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476250</xdr:colOff>
      <xdr:row>0</xdr:row>
      <xdr:rowOff>76200</xdr:rowOff>
    </xdr:from>
    <xdr:to>
      <xdr:col>2</xdr:col>
      <xdr:colOff>1333500</xdr:colOff>
      <xdr:row>2</xdr:row>
      <xdr:rowOff>257175</xdr:rowOff>
    </xdr:to>
    <xdr:pic>
      <xdr:nvPicPr>
        <xdr:cNvPr id="4097"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95600" y="76200"/>
          <a:ext cx="857250"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2724150</xdr:colOff>
      <xdr:row>0</xdr:row>
      <xdr:rowOff>66675</xdr:rowOff>
    </xdr:from>
    <xdr:to>
      <xdr:col>2</xdr:col>
      <xdr:colOff>3638550</xdr:colOff>
      <xdr:row>2</xdr:row>
      <xdr:rowOff>219075</xdr:rowOff>
    </xdr:to>
    <xdr:pic>
      <xdr:nvPicPr>
        <xdr:cNvPr id="5121"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0200" y="66675"/>
          <a:ext cx="914400" cy="609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104775</xdr:colOff>
      <xdr:row>0</xdr:row>
      <xdr:rowOff>114300</xdr:rowOff>
    </xdr:from>
    <xdr:to>
      <xdr:col>2</xdr:col>
      <xdr:colOff>1000125</xdr:colOff>
      <xdr:row>2</xdr:row>
      <xdr:rowOff>266700</xdr:rowOff>
    </xdr:to>
    <xdr:pic>
      <xdr:nvPicPr>
        <xdr:cNvPr id="7169" name="Imagem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114300"/>
          <a:ext cx="895350" cy="6858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219075</xdr:colOff>
      <xdr:row>24</xdr:row>
      <xdr:rowOff>85725</xdr:rowOff>
    </xdr:from>
    <xdr:to>
      <xdr:col>2</xdr:col>
      <xdr:colOff>1990725</xdr:colOff>
      <xdr:row>26</xdr:row>
      <xdr:rowOff>57150</xdr:rowOff>
    </xdr:to>
    <xdr:pic>
      <xdr:nvPicPr>
        <xdr:cNvPr id="8193" name="Picture 3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6429375"/>
          <a:ext cx="2981325" cy="3619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190500</xdr:colOff>
      <xdr:row>0</xdr:row>
      <xdr:rowOff>142875</xdr:rowOff>
    </xdr:from>
    <xdr:to>
      <xdr:col>2</xdr:col>
      <xdr:colOff>247650</xdr:colOff>
      <xdr:row>1</xdr:row>
      <xdr:rowOff>295275</xdr:rowOff>
    </xdr:to>
    <xdr:pic>
      <xdr:nvPicPr>
        <xdr:cNvPr id="8194" name="Imagem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 y="142875"/>
          <a:ext cx="657225" cy="533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2733675</xdr:colOff>
      <xdr:row>0</xdr:row>
      <xdr:rowOff>66675</xdr:rowOff>
    </xdr:from>
    <xdr:to>
      <xdr:col>2</xdr:col>
      <xdr:colOff>3648075</xdr:colOff>
      <xdr:row>2</xdr:row>
      <xdr:rowOff>219075</xdr:rowOff>
    </xdr:to>
    <xdr:pic>
      <xdr:nvPicPr>
        <xdr:cNvPr id="9238"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19725" y="66675"/>
          <a:ext cx="914400" cy="609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veline.heps\Downloads\MEMORIAIS-OR&#199;AMENTOS\MEMORIAIS-OR&#199;AMENTOS\2025\TERRAPLANAGEM%20FUTURA%20SECRETARIA%20DE%20OBRAS%20-%20VILA%20RICA\FUTURA%20SECRETARIA%20DE%20OBRAS%20-%20TERRAPLANAGEM\MO27477006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ventograma_e_Quantitativos"/>
      <sheetName val="Detalhamento"/>
      <sheetName val="Cronograma"/>
      <sheetName val="PLE"/>
      <sheetName val="Resumo_de_Acompanhamento"/>
      <sheetName val="CronoPrev"/>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BreakPreview" zoomScaleNormal="85" zoomScaleSheetLayoutView="100" workbookViewId="0">
      <selection activeCell="E17" sqref="E17"/>
    </sheetView>
  </sheetViews>
  <sheetFormatPr defaultRowHeight="12.75"/>
  <cols>
    <col min="1" max="1" width="5.42578125" customWidth="1"/>
    <col min="2" max="2" width="12.7109375" customWidth="1"/>
    <col min="3" max="3" width="9.7109375" customWidth="1"/>
    <col min="4" max="4" width="13.5703125" customWidth="1"/>
    <col min="5" max="5" width="13.28515625" customWidth="1"/>
    <col min="6" max="6" width="10.42578125" customWidth="1"/>
    <col min="7" max="7" width="19" customWidth="1"/>
    <col min="8" max="11" width="10.42578125" customWidth="1"/>
    <col min="12" max="12" width="12.42578125" customWidth="1"/>
    <col min="13" max="13" width="14.28515625" customWidth="1"/>
  </cols>
  <sheetData>
    <row r="1" spans="1:7" ht="26.25">
      <c r="A1" s="297" t="s">
        <v>0</v>
      </c>
      <c r="B1" s="297"/>
      <c r="C1" s="297"/>
      <c r="D1" s="297"/>
      <c r="E1" s="297"/>
      <c r="F1" s="297"/>
      <c r="G1" s="297"/>
    </row>
    <row r="2" spans="1:7" ht="18.75">
      <c r="A2" s="298" t="s">
        <v>1</v>
      </c>
      <c r="B2" s="298"/>
      <c r="C2" s="298"/>
      <c r="D2" s="298"/>
      <c r="E2" s="298"/>
      <c r="F2" s="298"/>
      <c r="G2" s="298"/>
    </row>
    <row r="3" spans="1:7">
      <c r="A3" s="299"/>
      <c r="B3" s="299"/>
      <c r="C3" s="299"/>
      <c r="D3" s="299"/>
      <c r="E3" s="299"/>
      <c r="F3" s="299"/>
      <c r="G3" s="299"/>
    </row>
    <row r="4" spans="1:7" ht="18.75">
      <c r="A4" s="300" t="s">
        <v>2</v>
      </c>
      <c r="B4" s="300"/>
      <c r="C4" s="300"/>
      <c r="D4" s="300"/>
      <c r="E4" s="300"/>
      <c r="F4" s="300"/>
      <c r="G4" s="300"/>
    </row>
    <row r="5" spans="1:7" ht="18.75">
      <c r="A5" s="300"/>
      <c r="B5" s="300"/>
      <c r="C5" s="300"/>
      <c r="D5" s="300"/>
      <c r="E5" s="300"/>
      <c r="F5" s="300"/>
      <c r="G5" s="300"/>
    </row>
    <row r="6" spans="1:7" ht="51.75" customHeight="1">
      <c r="A6" s="301" t="s">
        <v>3</v>
      </c>
      <c r="B6" s="301"/>
      <c r="C6" s="301"/>
      <c r="D6" s="301"/>
      <c r="E6" s="301"/>
      <c r="F6" s="301"/>
      <c r="G6" s="301"/>
    </row>
    <row r="10" spans="1:7">
      <c r="C10" s="1"/>
      <c r="D10" s="2" t="s">
        <v>4</v>
      </c>
      <c r="E10" s="3" t="s">
        <v>5</v>
      </c>
      <c r="F10" s="4"/>
    </row>
    <row r="11" spans="1:7">
      <c r="C11" s="1"/>
      <c r="D11" s="2" t="s">
        <v>6</v>
      </c>
      <c r="E11" s="5">
        <v>0.2</v>
      </c>
    </row>
    <row r="12" spans="1:7" ht="14.25" customHeight="1">
      <c r="C12" s="1"/>
      <c r="D12" s="2" t="s">
        <v>7</v>
      </c>
      <c r="E12" s="5">
        <v>0.2</v>
      </c>
    </row>
    <row r="13" spans="1:7" ht="14.25" customHeight="1">
      <c r="C13" s="1"/>
      <c r="D13" s="2" t="s">
        <v>8</v>
      </c>
      <c r="E13" s="5">
        <v>0.2</v>
      </c>
    </row>
    <row r="14" spans="1:7" ht="14.25" customHeight="1">
      <c r="C14" s="1"/>
      <c r="D14" s="2" t="s">
        <v>9</v>
      </c>
      <c r="E14" s="5">
        <v>0.2</v>
      </c>
    </row>
    <row r="15" spans="1:7" ht="14.25" customHeight="1">
      <c r="C15" s="1"/>
      <c r="D15" s="2" t="s">
        <v>10</v>
      </c>
      <c r="E15" s="5">
        <v>0.15</v>
      </c>
    </row>
    <row r="16" spans="1:7" ht="14.25" customHeight="1">
      <c r="C16" s="1"/>
      <c r="D16" s="2" t="s">
        <v>11</v>
      </c>
      <c r="E16" s="5">
        <v>0.05</v>
      </c>
    </row>
    <row r="17" spans="4:5">
      <c r="D17" s="2" t="s">
        <v>12</v>
      </c>
      <c r="E17" s="5">
        <f>SUM(E11:E16)</f>
        <v>1</v>
      </c>
    </row>
    <row r="22" spans="4:5">
      <c r="D22" s="6"/>
    </row>
    <row r="26" spans="4:5">
      <c r="E26" s="6"/>
    </row>
  </sheetData>
  <sheetProtection selectLockedCells="1" selectUnlockedCells="1"/>
  <mergeCells count="6">
    <mergeCell ref="A1:G1"/>
    <mergeCell ref="A2:G2"/>
    <mergeCell ref="A3:G3"/>
    <mergeCell ref="A4:G4"/>
    <mergeCell ref="A5:G5"/>
    <mergeCell ref="A6:G6"/>
  </mergeCells>
  <printOptions horizontalCentered="1"/>
  <pageMargins left="0.59027777777777779" right="0.59027777777777779" top="0.98402777777777783" bottom="0.98402777777777783" header="0.51181102362204722" footer="0.51181102362204722"/>
  <pageSetup paperSize="9" scale="97" firstPageNumber="0"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heetViews>
  <sheetFormatPr defaultRowHeight="12.75"/>
  <cols>
    <col min="1" max="1" width="1.140625" customWidth="1"/>
    <col min="2" max="2" width="64.42578125" customWidth="1"/>
    <col min="3" max="3" width="1.5703125" customWidth="1"/>
    <col min="4" max="4" width="5.5703125" customWidth="1"/>
    <col min="5" max="6" width="16" customWidth="1"/>
  </cols>
  <sheetData>
    <row r="1" spans="2:6" ht="25.5">
      <c r="B1" s="361" t="s">
        <v>788</v>
      </c>
      <c r="C1" s="361"/>
      <c r="D1" s="365"/>
      <c r="E1" s="365"/>
      <c r="F1" s="365"/>
    </row>
    <row r="2" spans="2:6">
      <c r="B2" s="361" t="s">
        <v>789</v>
      </c>
      <c r="C2" s="361"/>
      <c r="D2" s="365"/>
      <c r="E2" s="365"/>
      <c r="F2" s="365"/>
    </row>
    <row r="3" spans="2:6">
      <c r="B3" s="362"/>
      <c r="C3" s="362"/>
      <c r="D3" s="366"/>
      <c r="E3" s="366"/>
      <c r="F3" s="366"/>
    </row>
    <row r="4" spans="2:6" ht="51">
      <c r="B4" s="362" t="s">
        <v>790</v>
      </c>
      <c r="C4" s="362"/>
      <c r="D4" s="366"/>
      <c r="E4" s="366"/>
      <c r="F4" s="366"/>
    </row>
    <row r="5" spans="2:6">
      <c r="B5" s="362"/>
      <c r="C5" s="362"/>
      <c r="D5" s="366"/>
      <c r="E5" s="366"/>
      <c r="F5" s="366"/>
    </row>
    <row r="6" spans="2:6" ht="25.5">
      <c r="B6" s="361" t="s">
        <v>791</v>
      </c>
      <c r="C6" s="361"/>
      <c r="D6" s="365"/>
      <c r="E6" s="365" t="s">
        <v>792</v>
      </c>
      <c r="F6" s="365" t="s">
        <v>793</v>
      </c>
    </row>
    <row r="7" spans="2:6" ht="13.5" thickBot="1">
      <c r="B7" s="362"/>
      <c r="C7" s="362"/>
      <c r="D7" s="366"/>
      <c r="E7" s="366"/>
      <c r="F7" s="366"/>
    </row>
    <row r="8" spans="2:6" ht="64.5" thickBot="1">
      <c r="B8" s="363" t="s">
        <v>794</v>
      </c>
      <c r="C8" s="364"/>
      <c r="D8" s="367"/>
      <c r="E8" s="367" t="s">
        <v>796</v>
      </c>
      <c r="F8" s="368" t="s">
        <v>795</v>
      </c>
    </row>
    <row r="9" spans="2:6">
      <c r="B9" s="362"/>
      <c r="C9" s="362"/>
      <c r="D9" s="366"/>
      <c r="E9" s="366"/>
      <c r="F9" s="366"/>
    </row>
    <row r="10" spans="2:6">
      <c r="B10" s="362"/>
      <c r="C10" s="362"/>
      <c r="D10" s="366"/>
      <c r="E10" s="366"/>
      <c r="F10" s="366"/>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tabSelected="1" view="pageBreakPreview" topLeftCell="A5" zoomScaleSheetLayoutView="100" workbookViewId="0">
      <selection activeCell="A5" sqref="A5:K5"/>
    </sheetView>
  </sheetViews>
  <sheetFormatPr defaultColWidth="9" defaultRowHeight="15"/>
  <cols>
    <col min="1" max="1" width="9" style="7"/>
    <col min="2" max="2" width="27.28515625" style="7" customWidth="1"/>
    <col min="3" max="3" width="131.85546875" style="7" customWidth="1"/>
    <col min="4" max="4" width="14.28515625" style="8" customWidth="1"/>
    <col min="5" max="5" width="13.42578125" style="9" customWidth="1"/>
    <col min="6" max="7" width="10.5703125" style="7" customWidth="1"/>
    <col min="8" max="8" width="12.140625" style="7" customWidth="1"/>
    <col min="9" max="9" width="14" style="7" customWidth="1"/>
    <col min="10" max="10" width="14.28515625" style="7" hidden="1" customWidth="1"/>
    <col min="11" max="11" width="24.140625" style="7" customWidth="1"/>
    <col min="12" max="12" width="13" style="7" customWidth="1"/>
    <col min="13" max="13" width="19" style="7" customWidth="1"/>
    <col min="14" max="14" width="9" style="7"/>
    <col min="15" max="15" width="12.7109375" style="7" customWidth="1"/>
    <col min="16" max="16" width="9.140625" style="7" customWidth="1"/>
    <col min="17" max="16384" width="9" style="7"/>
  </cols>
  <sheetData>
    <row r="1" spans="1:17" ht="22.5">
      <c r="A1" s="302" t="s">
        <v>13</v>
      </c>
      <c r="B1" s="302"/>
      <c r="C1" s="302"/>
      <c r="D1" s="302"/>
      <c r="E1" s="302"/>
      <c r="F1" s="302"/>
      <c r="G1" s="302"/>
      <c r="H1" s="302"/>
      <c r="I1" s="302"/>
      <c r="J1" s="302"/>
      <c r="K1" s="302"/>
      <c r="L1" s="10"/>
      <c r="M1" s="10"/>
      <c r="N1" s="10"/>
      <c r="O1" s="11"/>
      <c r="P1" s="12"/>
      <c r="Q1" s="12"/>
    </row>
    <row r="2" spans="1:17" ht="23.25">
      <c r="A2" s="303" t="s">
        <v>14</v>
      </c>
      <c r="B2" s="303"/>
      <c r="C2" s="303"/>
      <c r="D2" s="303"/>
      <c r="E2" s="303"/>
      <c r="F2" s="303"/>
      <c r="G2" s="303"/>
      <c r="H2" s="303"/>
      <c r="I2" s="303"/>
      <c r="J2" s="303"/>
      <c r="K2" s="303"/>
      <c r="L2" s="13"/>
      <c r="M2" s="13"/>
      <c r="N2" s="13"/>
      <c r="O2" s="11"/>
      <c r="P2" s="12"/>
      <c r="Q2" s="12"/>
    </row>
    <row r="3" spans="1:17" ht="23.25">
      <c r="A3" s="303" t="s">
        <v>1</v>
      </c>
      <c r="B3" s="303"/>
      <c r="C3" s="303"/>
      <c r="D3" s="303"/>
      <c r="E3" s="303"/>
      <c r="F3" s="303"/>
      <c r="G3" s="303"/>
      <c r="H3" s="303"/>
      <c r="I3" s="303"/>
      <c r="J3" s="303"/>
      <c r="K3" s="303"/>
      <c r="L3" s="13"/>
      <c r="M3" s="13"/>
      <c r="N3" s="13"/>
      <c r="O3" s="11"/>
      <c r="P3" s="12"/>
      <c r="Q3" s="12"/>
    </row>
    <row r="4" spans="1:17" ht="24.6" customHeight="1">
      <c r="A4" s="304"/>
      <c r="B4" s="304"/>
      <c r="C4" s="304"/>
      <c r="D4" s="304"/>
      <c r="E4" s="304"/>
      <c r="F4" s="304"/>
      <c r="G4" s="304"/>
      <c r="H4" s="304"/>
      <c r="I4" s="304"/>
      <c r="J4" s="304"/>
      <c r="K4" s="304"/>
      <c r="L4" s="14"/>
      <c r="M4" s="305"/>
      <c r="N4" s="305"/>
      <c r="O4" s="305"/>
      <c r="P4" s="12"/>
      <c r="Q4" s="12"/>
    </row>
    <row r="5" spans="1:17" ht="51.75" customHeight="1">
      <c r="A5" s="306" t="s">
        <v>15</v>
      </c>
      <c r="B5" s="306"/>
      <c r="C5" s="306"/>
      <c r="D5" s="306"/>
      <c r="E5" s="306"/>
      <c r="F5" s="306"/>
      <c r="G5" s="306"/>
      <c r="H5" s="306"/>
      <c r="I5" s="306"/>
      <c r="J5" s="306"/>
      <c r="K5" s="306"/>
      <c r="L5" s="14"/>
      <c r="M5" s="15"/>
      <c r="N5" s="15"/>
      <c r="O5" s="15"/>
      <c r="P5" s="12"/>
      <c r="Q5" s="12"/>
    </row>
    <row r="6" spans="1:17" ht="23.25" customHeight="1">
      <c r="A6" s="307" t="s">
        <v>16</v>
      </c>
      <c r="B6" s="307"/>
      <c r="C6" s="307"/>
      <c r="D6" s="307"/>
      <c r="E6" s="307"/>
      <c r="F6" s="307"/>
      <c r="G6" s="307"/>
      <c r="H6" s="307"/>
      <c r="I6" s="307"/>
      <c r="J6" s="307"/>
      <c r="K6" s="307"/>
      <c r="L6" s="11"/>
      <c r="M6" s="13"/>
      <c r="N6" s="11"/>
      <c r="O6" s="11"/>
      <c r="P6" s="12"/>
      <c r="Q6" s="12"/>
    </row>
    <row r="7" spans="1:17">
      <c r="A7" s="308" t="s">
        <v>17</v>
      </c>
      <c r="B7" s="309" t="s">
        <v>18</v>
      </c>
      <c r="C7" s="308" t="s">
        <v>19</v>
      </c>
      <c r="D7" s="308" t="s">
        <v>20</v>
      </c>
      <c r="E7" s="310" t="s">
        <v>21</v>
      </c>
      <c r="F7" s="309" t="s">
        <v>22</v>
      </c>
      <c r="G7" s="309"/>
      <c r="H7" s="309"/>
      <c r="I7" s="309"/>
      <c r="J7" s="309"/>
      <c r="K7" s="309"/>
      <c r="L7" s="12"/>
      <c r="M7" s="311"/>
      <c r="N7" s="311"/>
      <c r="O7" s="311"/>
      <c r="P7" s="311"/>
      <c r="Q7" s="311"/>
    </row>
    <row r="8" spans="1:17">
      <c r="A8" s="308"/>
      <c r="B8" s="309"/>
      <c r="C8" s="308"/>
      <c r="D8" s="308"/>
      <c r="E8" s="310"/>
      <c r="F8" s="309"/>
      <c r="G8" s="309"/>
      <c r="H8" s="309"/>
      <c r="I8" s="309"/>
      <c r="J8" s="309"/>
      <c r="K8" s="309"/>
      <c r="L8" s="12"/>
      <c r="M8" s="16"/>
      <c r="N8" s="17"/>
      <c r="O8" s="16"/>
      <c r="P8" s="17"/>
      <c r="Q8" s="17"/>
    </row>
    <row r="9" spans="1:17" s="21" customFormat="1" ht="23.25">
      <c r="A9" s="18">
        <v>1</v>
      </c>
      <c r="B9" s="18"/>
      <c r="C9" s="19" t="s">
        <v>23</v>
      </c>
      <c r="D9" s="18"/>
      <c r="E9" s="20"/>
      <c r="F9" s="312"/>
      <c r="G9" s="312"/>
      <c r="H9" s="312"/>
      <c r="I9" s="312"/>
      <c r="J9" s="312"/>
      <c r="K9" s="312"/>
      <c r="L9" s="12"/>
      <c r="M9" s="13"/>
      <c r="N9" s="12"/>
      <c r="O9" s="12"/>
      <c r="P9" s="12"/>
      <c r="Q9" s="12"/>
    </row>
    <row r="10" spans="1:17" ht="23.25" customHeight="1">
      <c r="A10" s="22" t="s">
        <v>24</v>
      </c>
      <c r="B10" s="23" t="s">
        <v>25</v>
      </c>
      <c r="C10" s="22" t="s">
        <v>26</v>
      </c>
      <c r="D10" s="22" t="s">
        <v>27</v>
      </c>
      <c r="E10" s="24">
        <v>25</v>
      </c>
      <c r="F10" s="313" t="s">
        <v>28</v>
      </c>
      <c r="G10" s="313"/>
      <c r="H10" s="313"/>
      <c r="I10" s="313"/>
      <c r="J10" s="313"/>
      <c r="K10" s="313"/>
      <c r="L10" s="12"/>
      <c r="M10" s="13"/>
      <c r="N10" s="12"/>
      <c r="O10" s="12"/>
      <c r="P10" s="12"/>
      <c r="Q10" s="12"/>
    </row>
    <row r="11" spans="1:17" ht="23.25" customHeight="1">
      <c r="A11" s="22" t="s">
        <v>29</v>
      </c>
      <c r="B11" s="23" t="s">
        <v>30</v>
      </c>
      <c r="C11" s="22" t="s">
        <v>31</v>
      </c>
      <c r="D11" s="22" t="s">
        <v>27</v>
      </c>
      <c r="E11" s="24">
        <v>25</v>
      </c>
      <c r="F11" s="313" t="s">
        <v>28</v>
      </c>
      <c r="G11" s="313"/>
      <c r="H11" s="313"/>
      <c r="I11" s="313"/>
      <c r="J11" s="313"/>
      <c r="K11" s="313"/>
      <c r="L11" s="12"/>
      <c r="M11" s="13"/>
      <c r="N11" s="12"/>
      <c r="O11" s="12"/>
      <c r="P11" s="12"/>
      <c r="Q11" s="12"/>
    </row>
    <row r="12" spans="1:17" ht="23.25" customHeight="1">
      <c r="A12" s="22" t="s">
        <v>32</v>
      </c>
      <c r="B12" s="23" t="s">
        <v>33</v>
      </c>
      <c r="C12" s="22" t="s">
        <v>34</v>
      </c>
      <c r="D12" s="22" t="s">
        <v>35</v>
      </c>
      <c r="E12" s="24">
        <v>6</v>
      </c>
      <c r="F12" s="313" t="s">
        <v>36</v>
      </c>
      <c r="G12" s="313"/>
      <c r="H12" s="313"/>
      <c r="I12" s="313"/>
      <c r="J12" s="313"/>
      <c r="K12" s="313"/>
      <c r="L12" s="12"/>
      <c r="M12" s="13"/>
      <c r="N12" s="12"/>
      <c r="O12" s="12"/>
      <c r="P12" s="12"/>
      <c r="Q12" s="12"/>
    </row>
    <row r="13" spans="1:17" ht="23.25">
      <c r="A13" s="18">
        <v>2</v>
      </c>
      <c r="B13" s="25"/>
      <c r="C13" s="18" t="s">
        <v>37</v>
      </c>
      <c r="D13" s="18"/>
      <c r="E13" s="26"/>
      <c r="F13" s="312"/>
      <c r="G13" s="312"/>
      <c r="H13" s="312"/>
      <c r="I13" s="312"/>
      <c r="J13" s="312"/>
      <c r="K13" s="312"/>
      <c r="L13" s="12"/>
      <c r="M13" s="13"/>
      <c r="N13" s="12"/>
      <c r="O13" s="12"/>
      <c r="P13" s="12"/>
      <c r="Q13" s="12"/>
    </row>
    <row r="14" spans="1:17" ht="23.25">
      <c r="A14" s="22" t="s">
        <v>38</v>
      </c>
      <c r="B14" s="23" t="s">
        <v>39</v>
      </c>
      <c r="C14" s="22" t="s">
        <v>40</v>
      </c>
      <c r="D14" s="22" t="s">
        <v>41</v>
      </c>
      <c r="E14" s="27">
        <v>3</v>
      </c>
      <c r="F14" s="314" t="s">
        <v>42</v>
      </c>
      <c r="G14" s="314"/>
      <c r="H14" s="314"/>
      <c r="I14" s="314"/>
      <c r="J14" s="314"/>
      <c r="K14" s="314"/>
      <c r="L14" s="12"/>
      <c r="M14" s="13"/>
      <c r="N14" s="12"/>
      <c r="O14" s="12"/>
      <c r="P14" s="12"/>
      <c r="Q14" s="12"/>
    </row>
    <row r="15" spans="1:17" ht="23.25">
      <c r="A15" s="18">
        <v>3</v>
      </c>
      <c r="B15" s="18"/>
      <c r="C15" s="19" t="s">
        <v>43</v>
      </c>
      <c r="D15" s="18"/>
      <c r="E15" s="28"/>
      <c r="F15" s="315"/>
      <c r="G15" s="315"/>
      <c r="H15" s="315"/>
      <c r="I15" s="315"/>
      <c r="J15" s="315"/>
      <c r="K15" s="315"/>
      <c r="L15" s="12"/>
      <c r="M15" s="13"/>
      <c r="N15" s="12"/>
      <c r="O15" s="12"/>
      <c r="P15" s="12"/>
      <c r="Q15" s="12"/>
    </row>
    <row r="16" spans="1:17" ht="23.25">
      <c r="A16" s="22" t="s">
        <v>44</v>
      </c>
      <c r="B16" s="22" t="s">
        <v>45</v>
      </c>
      <c r="C16" s="29" t="s">
        <v>46</v>
      </c>
      <c r="D16" s="22" t="s">
        <v>47</v>
      </c>
      <c r="E16" s="30">
        <f>26249.68*0.5</f>
        <v>13124.84</v>
      </c>
      <c r="F16" s="316" t="s">
        <v>48</v>
      </c>
      <c r="G16" s="316"/>
      <c r="H16" s="316"/>
      <c r="I16" s="316"/>
      <c r="J16" s="316"/>
      <c r="K16" s="316"/>
      <c r="L16" s="12"/>
      <c r="M16" s="13"/>
      <c r="N16" s="12"/>
      <c r="O16" s="12"/>
      <c r="P16" s="12"/>
      <c r="Q16" s="12"/>
    </row>
    <row r="17" spans="1:17" ht="45.75" customHeight="1">
      <c r="A17" s="22" t="s">
        <v>49</v>
      </c>
      <c r="B17" s="22" t="s">
        <v>50</v>
      </c>
      <c r="C17" s="22" t="s">
        <v>51</v>
      </c>
      <c r="D17" s="22" t="s">
        <v>52</v>
      </c>
      <c r="E17" s="30">
        <f>E16*1.3*6.1</f>
        <v>104079.98119999999</v>
      </c>
      <c r="F17" s="317" t="s">
        <v>53</v>
      </c>
      <c r="G17" s="317"/>
      <c r="H17" s="317"/>
      <c r="I17" s="317"/>
      <c r="J17" s="317"/>
      <c r="K17" s="317"/>
      <c r="L17" s="12"/>
      <c r="M17" s="13"/>
      <c r="N17" s="12"/>
      <c r="O17" s="12"/>
      <c r="P17" s="12"/>
      <c r="Q17" s="12"/>
    </row>
    <row r="18" spans="1:17" ht="45.75" customHeight="1">
      <c r="A18" s="22" t="s">
        <v>54</v>
      </c>
      <c r="B18" s="23" t="s">
        <v>55</v>
      </c>
      <c r="C18" s="31" t="s">
        <v>56</v>
      </c>
      <c r="D18" s="22" t="s">
        <v>47</v>
      </c>
      <c r="E18" s="30">
        <v>4479.97</v>
      </c>
      <c r="F18" s="318" t="s">
        <v>57</v>
      </c>
      <c r="G18" s="318"/>
      <c r="H18" s="318"/>
      <c r="I18" s="318"/>
      <c r="J18" s="318"/>
      <c r="K18" s="318"/>
      <c r="L18" s="12"/>
      <c r="M18" s="13"/>
      <c r="N18" s="12"/>
      <c r="O18" s="12"/>
      <c r="P18" s="12"/>
      <c r="Q18" s="12"/>
    </row>
    <row r="19" spans="1:17" ht="45.75" customHeight="1">
      <c r="A19" s="22" t="s">
        <v>58</v>
      </c>
      <c r="B19" s="22" t="s">
        <v>50</v>
      </c>
      <c r="C19" s="22" t="s">
        <v>59</v>
      </c>
      <c r="D19" s="22" t="s">
        <v>52</v>
      </c>
      <c r="E19" s="30">
        <f>E18*1.3*6.1</f>
        <v>35526.162100000001</v>
      </c>
      <c r="F19" s="317" t="s">
        <v>60</v>
      </c>
      <c r="G19" s="317"/>
      <c r="H19" s="317"/>
      <c r="I19" s="317"/>
      <c r="J19" s="317"/>
      <c r="K19" s="317"/>
      <c r="L19" s="12"/>
      <c r="M19" s="13"/>
      <c r="N19" s="12"/>
      <c r="O19" s="12"/>
      <c r="P19" s="12"/>
      <c r="Q19" s="12"/>
    </row>
    <row r="20" spans="1:17" ht="23.25" customHeight="1">
      <c r="A20" s="22" t="s">
        <v>61</v>
      </c>
      <c r="B20" s="22" t="s">
        <v>62</v>
      </c>
      <c r="C20" s="22" t="s">
        <v>63</v>
      </c>
      <c r="D20" s="22" t="s">
        <v>47</v>
      </c>
      <c r="E20" s="30">
        <f>E16*1.3</f>
        <v>17062.292000000001</v>
      </c>
      <c r="F20" s="317" t="s">
        <v>64</v>
      </c>
      <c r="G20" s="317"/>
      <c r="H20" s="317"/>
      <c r="I20" s="317"/>
      <c r="J20" s="317"/>
      <c r="K20" s="317"/>
      <c r="L20" s="12"/>
      <c r="M20" s="32"/>
      <c r="N20" s="12"/>
      <c r="O20" s="12"/>
      <c r="P20" s="12"/>
      <c r="Q20" s="12"/>
    </row>
    <row r="21" spans="1:17" ht="23.25" customHeight="1">
      <c r="A21" s="22" t="s">
        <v>65</v>
      </c>
      <c r="B21" s="22" t="s">
        <v>62</v>
      </c>
      <c r="C21" s="22" t="s">
        <v>66</v>
      </c>
      <c r="D21" s="22" t="s">
        <v>47</v>
      </c>
      <c r="E21" s="30">
        <f>(3207.92+4479.97)*1.3</f>
        <v>9994.2570000000014</v>
      </c>
      <c r="F21" s="317" t="s">
        <v>67</v>
      </c>
      <c r="G21" s="317"/>
      <c r="H21" s="317"/>
      <c r="I21" s="317"/>
      <c r="J21" s="317"/>
      <c r="K21" s="317"/>
      <c r="L21" s="12"/>
      <c r="M21" s="32"/>
      <c r="N21" s="12"/>
      <c r="O21" s="12"/>
      <c r="P21" s="12"/>
      <c r="Q21" s="12"/>
    </row>
    <row r="22" spans="1:17" s="21" customFormat="1" ht="37.5" customHeight="1">
      <c r="A22" s="22" t="s">
        <v>68</v>
      </c>
      <c r="B22" s="22" t="s">
        <v>69</v>
      </c>
      <c r="C22" s="29" t="s">
        <v>70</v>
      </c>
      <c r="D22" s="22" t="s">
        <v>47</v>
      </c>
      <c r="E22" s="30">
        <f>E16+(3207.92+4479.97)</f>
        <v>20812.73</v>
      </c>
      <c r="F22" s="318" t="s">
        <v>71</v>
      </c>
      <c r="G22" s="318"/>
      <c r="H22" s="318"/>
      <c r="I22" s="318"/>
      <c r="J22" s="318"/>
      <c r="K22" s="318"/>
      <c r="L22" s="33"/>
      <c r="M22" s="32"/>
      <c r="N22" s="12"/>
      <c r="O22" s="12"/>
      <c r="P22" s="12"/>
      <c r="Q22" s="12"/>
    </row>
    <row r="23" spans="1:17" s="21" customFormat="1" ht="37.5" customHeight="1">
      <c r="A23" s="22" t="s">
        <v>72</v>
      </c>
      <c r="B23" s="23" t="s">
        <v>73</v>
      </c>
      <c r="C23" s="29" t="s">
        <v>74</v>
      </c>
      <c r="D23" s="22" t="s">
        <v>47</v>
      </c>
      <c r="E23" s="30">
        <v>200</v>
      </c>
      <c r="F23" s="319" t="s">
        <v>75</v>
      </c>
      <c r="G23" s="319"/>
      <c r="H23" s="319"/>
      <c r="I23" s="319"/>
      <c r="J23" s="319"/>
      <c r="K23" s="319"/>
      <c r="L23" s="33"/>
      <c r="M23" s="32"/>
      <c r="N23" s="12"/>
      <c r="O23" s="12"/>
      <c r="P23" s="12"/>
      <c r="Q23" s="12"/>
    </row>
    <row r="24" spans="1:17" s="21" customFormat="1" ht="37.5" customHeight="1">
      <c r="A24" s="22" t="s">
        <v>76</v>
      </c>
      <c r="B24" s="23" t="s">
        <v>77</v>
      </c>
      <c r="C24" s="34" t="s">
        <v>78</v>
      </c>
      <c r="D24" s="22" t="s">
        <v>52</v>
      </c>
      <c r="E24" s="30">
        <f>E23*1.3*15</f>
        <v>3900</v>
      </c>
      <c r="F24" s="320" t="s">
        <v>79</v>
      </c>
      <c r="G24" s="320"/>
      <c r="H24" s="320"/>
      <c r="I24" s="320"/>
      <c r="J24" s="320"/>
      <c r="K24" s="320"/>
      <c r="L24" s="33"/>
      <c r="M24" s="32"/>
      <c r="N24" s="12"/>
      <c r="O24" s="12"/>
      <c r="P24" s="12"/>
      <c r="Q24" s="12"/>
    </row>
    <row r="25" spans="1:17" s="21" customFormat="1" ht="23.25">
      <c r="A25" s="18">
        <v>4</v>
      </c>
      <c r="B25" s="18"/>
      <c r="C25" s="18" t="s">
        <v>80</v>
      </c>
      <c r="D25" s="18"/>
      <c r="E25" s="28"/>
      <c r="F25" s="321"/>
      <c r="G25" s="321"/>
      <c r="H25" s="321"/>
      <c r="I25" s="321"/>
      <c r="J25" s="321"/>
      <c r="K25" s="321"/>
      <c r="L25" s="35"/>
      <c r="M25" s="36"/>
    </row>
    <row r="26" spans="1:17" ht="26.65" customHeight="1">
      <c r="A26" s="22" t="s">
        <v>81</v>
      </c>
      <c r="B26" s="22" t="s">
        <v>82</v>
      </c>
      <c r="C26" s="22" t="s">
        <v>83</v>
      </c>
      <c r="D26" s="23" t="s">
        <v>84</v>
      </c>
      <c r="E26" s="30">
        <v>300</v>
      </c>
      <c r="F26" s="317" t="s">
        <v>85</v>
      </c>
      <c r="G26" s="317"/>
      <c r="H26" s="317"/>
      <c r="I26" s="317"/>
      <c r="J26" s="317"/>
      <c r="K26" s="317"/>
      <c r="L26" s="37"/>
      <c r="M26" s="13"/>
      <c r="N26" s="12"/>
      <c r="O26" s="12"/>
      <c r="P26" s="12"/>
      <c r="Q26" s="12"/>
    </row>
  </sheetData>
  <sheetProtection selectLockedCells="1" selectUnlockedCells="1"/>
  <mergeCells count="33">
    <mergeCell ref="F25:K25"/>
    <mergeCell ref="F26:K26"/>
    <mergeCell ref="F19:K19"/>
    <mergeCell ref="F20:K20"/>
    <mergeCell ref="F21:K21"/>
    <mergeCell ref="F22:K22"/>
    <mergeCell ref="F23:K23"/>
    <mergeCell ref="F24:K24"/>
    <mergeCell ref="F13:K13"/>
    <mergeCell ref="F14:K14"/>
    <mergeCell ref="F15:K15"/>
    <mergeCell ref="F16:K16"/>
    <mergeCell ref="F17:K17"/>
    <mergeCell ref="F18:K18"/>
    <mergeCell ref="M7:N7"/>
    <mergeCell ref="O7:Q7"/>
    <mergeCell ref="F9:K9"/>
    <mergeCell ref="F10:K10"/>
    <mergeCell ref="F11:K11"/>
    <mergeCell ref="F12:K12"/>
    <mergeCell ref="A6:K6"/>
    <mergeCell ref="A7:A8"/>
    <mergeCell ref="B7:B8"/>
    <mergeCell ref="C7:C8"/>
    <mergeCell ref="D7:D8"/>
    <mergeCell ref="E7:E8"/>
    <mergeCell ref="F7:K8"/>
    <mergeCell ref="A1:K1"/>
    <mergeCell ref="A2:K2"/>
    <mergeCell ref="A3:K3"/>
    <mergeCell ref="A4:K4"/>
    <mergeCell ref="M4:O4"/>
    <mergeCell ref="A5:K5"/>
  </mergeCells>
  <printOptions horizontalCentered="1"/>
  <pageMargins left="0.19652777777777777" right="0.70833333333333337" top="0.78749999999999998" bottom="0.78749999999999998" header="0.51181102362204722" footer="0.51181102362204722"/>
  <pageSetup paperSize="9" scale="50" firstPageNumber="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9"/>
  <sheetViews>
    <sheetView view="pageBreakPreview" topLeftCell="A7" zoomScale="70" zoomScaleSheetLayoutView="70" workbookViewId="0">
      <selection activeCell="E17" sqref="E17"/>
    </sheetView>
  </sheetViews>
  <sheetFormatPr defaultRowHeight="15"/>
  <cols>
    <col min="2" max="2" width="15.42578125" style="38" customWidth="1"/>
    <col min="3" max="3" width="75.85546875" style="39" customWidth="1"/>
    <col min="4" max="4" width="12.140625" style="40" customWidth="1"/>
    <col min="5" max="5" width="13.85546875" style="41" customWidth="1"/>
    <col min="6" max="6" width="13.42578125" style="41" customWidth="1"/>
    <col min="7" max="7" width="16.28515625" customWidth="1"/>
    <col min="8" max="8" width="15.42578125" customWidth="1"/>
    <col min="9" max="9" width="18" customWidth="1"/>
    <col min="10" max="10" width="18.85546875" customWidth="1"/>
    <col min="11" max="11" width="20" customWidth="1"/>
    <col min="12" max="12" width="13" style="42" customWidth="1"/>
    <col min="13" max="14" width="14.85546875" style="42" customWidth="1"/>
    <col min="15" max="15" width="14.7109375" style="42" customWidth="1"/>
    <col min="16" max="16" width="10" style="42" customWidth="1"/>
    <col min="17" max="17" width="255.5703125" style="42" customWidth="1"/>
    <col min="18" max="18" width="18.7109375" style="42" customWidth="1"/>
    <col min="19" max="32" width="9" style="42" customWidth="1"/>
  </cols>
  <sheetData>
    <row r="1" spans="1:32" ht="18">
      <c r="A1" s="322" t="s">
        <v>13</v>
      </c>
      <c r="B1" s="322"/>
      <c r="C1" s="322"/>
      <c r="D1" s="322"/>
      <c r="E1" s="322"/>
      <c r="F1" s="322"/>
      <c r="G1" s="322"/>
      <c r="H1" s="322"/>
      <c r="I1" s="322"/>
      <c r="J1" s="322"/>
      <c r="K1" s="322"/>
    </row>
    <row r="2" spans="1:32" ht="18">
      <c r="A2" s="322" t="s">
        <v>14</v>
      </c>
      <c r="B2" s="322"/>
      <c r="C2" s="322"/>
      <c r="D2" s="322"/>
      <c r="E2" s="322"/>
      <c r="F2" s="322"/>
      <c r="G2" s="322"/>
      <c r="H2" s="322"/>
      <c r="I2" s="322"/>
      <c r="J2" s="322"/>
      <c r="K2" s="322"/>
    </row>
    <row r="3" spans="1:32" ht="18">
      <c r="A3" s="322" t="s">
        <v>1</v>
      </c>
      <c r="B3" s="322"/>
      <c r="C3" s="322"/>
      <c r="D3" s="322"/>
      <c r="E3" s="322"/>
      <c r="F3" s="322"/>
      <c r="G3" s="322"/>
      <c r="H3" s="322"/>
      <c r="I3" s="322"/>
      <c r="J3" s="322"/>
      <c r="K3" s="322"/>
    </row>
    <row r="4" spans="1:32" ht="18.75">
      <c r="A4" s="43"/>
      <c r="B4" s="43"/>
      <c r="C4" s="43"/>
      <c r="D4" s="43"/>
      <c r="E4" s="43"/>
      <c r="F4" s="43"/>
      <c r="G4" s="43"/>
      <c r="H4" s="43"/>
      <c r="I4" s="43"/>
      <c r="J4" s="43"/>
      <c r="K4" s="43"/>
    </row>
    <row r="5" spans="1:32" ht="54.4" customHeight="1">
      <c r="A5" s="306" t="s">
        <v>15</v>
      </c>
      <c r="B5" s="306"/>
      <c r="C5" s="306"/>
      <c r="D5" s="306"/>
      <c r="E5" s="306"/>
      <c r="F5" s="306"/>
      <c r="G5" s="306"/>
      <c r="H5" s="306"/>
      <c r="I5" s="306"/>
      <c r="J5" s="306"/>
      <c r="K5" s="306"/>
    </row>
    <row r="6" spans="1:32" ht="21" customHeight="1">
      <c r="A6" s="323"/>
      <c r="B6" s="323"/>
      <c r="C6" s="323"/>
      <c r="D6" s="323"/>
      <c r="E6" s="323"/>
      <c r="F6" s="323"/>
      <c r="G6" s="323"/>
      <c r="H6" s="323"/>
      <c r="I6" s="323"/>
      <c r="J6" s="323"/>
      <c r="K6" s="323"/>
    </row>
    <row r="7" spans="1:32" ht="18.75">
      <c r="A7" s="300" t="s">
        <v>86</v>
      </c>
      <c r="B7" s="300"/>
      <c r="C7" s="300"/>
      <c r="D7" s="300"/>
      <c r="E7" s="300"/>
      <c r="F7" s="300"/>
      <c r="G7" s="300"/>
      <c r="H7" s="300"/>
      <c r="I7" s="300"/>
      <c r="J7" s="300"/>
      <c r="K7" s="300"/>
    </row>
    <row r="8" spans="1:32" ht="18.75">
      <c r="A8" s="44"/>
      <c r="B8" s="45"/>
      <c r="C8" s="46"/>
      <c r="D8" s="46"/>
      <c r="E8" s="47"/>
      <c r="F8" s="47"/>
      <c r="G8" s="44"/>
      <c r="H8" s="44"/>
      <c r="I8" s="44"/>
      <c r="J8" s="44"/>
      <c r="K8" s="44"/>
    </row>
    <row r="9" spans="1:32" ht="18.75" customHeight="1">
      <c r="A9" s="324" t="s">
        <v>17</v>
      </c>
      <c r="B9" s="325" t="s">
        <v>87</v>
      </c>
      <c r="C9" s="324" t="s">
        <v>19</v>
      </c>
      <c r="D9" s="324" t="s">
        <v>20</v>
      </c>
      <c r="E9" s="326" t="s">
        <v>21</v>
      </c>
      <c r="F9" s="327" t="s">
        <v>88</v>
      </c>
      <c r="G9" s="328" t="s">
        <v>89</v>
      </c>
      <c r="H9" s="328"/>
      <c r="I9" s="328" t="s">
        <v>90</v>
      </c>
      <c r="J9" s="328"/>
      <c r="K9" s="328"/>
      <c r="M9" s="329"/>
      <c r="N9" s="329"/>
      <c r="O9" s="329"/>
    </row>
    <row r="10" spans="1:32" ht="18.75">
      <c r="A10" s="324"/>
      <c r="B10" s="324"/>
      <c r="C10" s="324"/>
      <c r="D10" s="324"/>
      <c r="E10" s="326"/>
      <c r="F10" s="326"/>
      <c r="G10" s="49" t="s">
        <v>91</v>
      </c>
      <c r="H10" s="49" t="s">
        <v>92</v>
      </c>
      <c r="I10" s="49" t="s">
        <v>93</v>
      </c>
      <c r="J10" s="49" t="s">
        <v>94</v>
      </c>
      <c r="K10" s="50" t="s">
        <v>95</v>
      </c>
    </row>
    <row r="11" spans="1:32" ht="18.75">
      <c r="A11" s="18">
        <v>1</v>
      </c>
      <c r="B11" s="18"/>
      <c r="C11" s="19" t="s">
        <v>23</v>
      </c>
      <c r="D11" s="18"/>
      <c r="E11" s="18"/>
      <c r="F11" s="51"/>
      <c r="G11" s="18"/>
      <c r="H11" s="18"/>
      <c r="I11" s="18"/>
      <c r="J11" s="18"/>
      <c r="K11" s="18"/>
      <c r="L11" s="52"/>
      <c r="M11" s="52"/>
      <c r="N11" s="52"/>
      <c r="O11" s="52"/>
      <c r="P11" s="52"/>
      <c r="Q11" s="53"/>
      <c r="R11" s="52"/>
      <c r="S11" s="52"/>
      <c r="T11" s="52"/>
      <c r="U11" s="52"/>
      <c r="V11" s="52"/>
      <c r="W11" s="52"/>
      <c r="X11" s="52"/>
      <c r="Y11" s="52"/>
      <c r="Z11" s="52"/>
      <c r="AA11" s="52"/>
      <c r="AB11" s="52"/>
      <c r="AC11" s="52"/>
      <c r="AD11" s="52"/>
      <c r="AE11" s="52"/>
      <c r="AF11" s="52"/>
    </row>
    <row r="12" spans="1:32" ht="18.75">
      <c r="A12" s="22" t="s">
        <v>24</v>
      </c>
      <c r="B12" s="23" t="s">
        <v>25</v>
      </c>
      <c r="C12" s="22" t="s">
        <v>26</v>
      </c>
      <c r="D12" s="22" t="s">
        <v>27</v>
      </c>
      <c r="E12" s="54">
        <v>25</v>
      </c>
      <c r="F12" s="54">
        <v>450.08</v>
      </c>
      <c r="G12" s="55">
        <f t="shared" ref="G12:G14" si="0">F12*1.256*0.8</f>
        <v>452.24038400000001</v>
      </c>
      <c r="H12" s="55">
        <f t="shared" ref="H12:H14" si="1">F12*1.256*0.2</f>
        <v>113.060096</v>
      </c>
      <c r="I12" s="55">
        <f t="shared" ref="I12:I14" si="2">E12*G12</f>
        <v>11306.009599999999</v>
      </c>
      <c r="J12" s="55">
        <f t="shared" ref="J12:J14" si="3">E12*H12</f>
        <v>2826.5023999999999</v>
      </c>
      <c r="K12" s="55">
        <f t="shared" ref="K12:K14" si="4">ROUND((I12+J12),2)</f>
        <v>14132.51</v>
      </c>
      <c r="L12" s="56"/>
      <c r="M12" s="53"/>
      <c r="N12" s="53"/>
      <c r="O12" s="57"/>
      <c r="P12" s="58"/>
      <c r="Q12" s="57"/>
      <c r="R12" s="59"/>
      <c r="S12" s="53"/>
      <c r="T12" s="53"/>
      <c r="U12" s="53"/>
      <c r="V12" s="53"/>
      <c r="W12" s="53"/>
      <c r="X12" s="53"/>
      <c r="Y12" s="53"/>
      <c r="Z12" s="53"/>
      <c r="AA12" s="53"/>
      <c r="AB12" s="53"/>
      <c r="AC12" s="53"/>
      <c r="AD12" s="53"/>
      <c r="AE12" s="53"/>
      <c r="AF12" s="53"/>
    </row>
    <row r="13" spans="1:32" ht="18.75">
      <c r="A13" s="22" t="s">
        <v>29</v>
      </c>
      <c r="B13" s="23" t="s">
        <v>30</v>
      </c>
      <c r="C13" s="22" t="s">
        <v>31</v>
      </c>
      <c r="D13" s="22" t="s">
        <v>27</v>
      </c>
      <c r="E13" s="54">
        <v>25</v>
      </c>
      <c r="F13" s="54">
        <v>290.58</v>
      </c>
      <c r="G13" s="55">
        <f t="shared" si="0"/>
        <v>291.974784</v>
      </c>
      <c r="H13" s="55">
        <f t="shared" si="1"/>
        <v>72.993696</v>
      </c>
      <c r="I13" s="55">
        <f t="shared" si="2"/>
        <v>7299.3696</v>
      </c>
      <c r="J13" s="55">
        <f t="shared" si="3"/>
        <v>1824.8424</v>
      </c>
      <c r="K13" s="55">
        <f t="shared" si="4"/>
        <v>9124.2099999999991</v>
      </c>
      <c r="L13" s="56"/>
      <c r="M13" s="53"/>
      <c r="N13" s="53"/>
      <c r="O13" s="57"/>
      <c r="P13" s="58"/>
      <c r="Q13" s="57"/>
      <c r="R13" s="59"/>
      <c r="S13" s="53"/>
      <c r="T13" s="53"/>
      <c r="U13" s="53"/>
      <c r="V13" s="53"/>
      <c r="W13" s="53"/>
      <c r="X13" s="53"/>
      <c r="Y13" s="53"/>
      <c r="Z13" s="53"/>
      <c r="AA13" s="53"/>
      <c r="AB13" s="53"/>
      <c r="AC13" s="53"/>
      <c r="AD13" s="53"/>
      <c r="AE13" s="53"/>
      <c r="AF13" s="53"/>
    </row>
    <row r="14" spans="1:32" ht="18.75">
      <c r="A14" s="22" t="s">
        <v>32</v>
      </c>
      <c r="B14" s="23" t="s">
        <v>33</v>
      </c>
      <c r="C14" s="22" t="s">
        <v>34</v>
      </c>
      <c r="D14" s="22" t="s">
        <v>35</v>
      </c>
      <c r="E14" s="54">
        <v>6</v>
      </c>
      <c r="F14" s="54">
        <v>1100</v>
      </c>
      <c r="G14" s="55">
        <f t="shared" si="0"/>
        <v>1105.28</v>
      </c>
      <c r="H14" s="55">
        <f t="shared" si="1"/>
        <v>276.32</v>
      </c>
      <c r="I14" s="55">
        <f t="shared" si="2"/>
        <v>6631.68</v>
      </c>
      <c r="J14" s="55">
        <f t="shared" si="3"/>
        <v>1657.92</v>
      </c>
      <c r="K14" s="55">
        <f t="shared" si="4"/>
        <v>8289.6</v>
      </c>
      <c r="L14" s="56"/>
      <c r="M14" s="53"/>
      <c r="N14" s="53"/>
      <c r="O14" s="53"/>
      <c r="P14" s="58"/>
      <c r="Q14" s="60"/>
      <c r="R14" s="59"/>
      <c r="S14" s="53"/>
      <c r="T14" s="53"/>
      <c r="U14" s="53"/>
      <c r="V14" s="53"/>
      <c r="W14" s="53"/>
      <c r="X14" s="53"/>
      <c r="Y14" s="53"/>
      <c r="Z14" s="53"/>
      <c r="AA14" s="53"/>
      <c r="AB14" s="53"/>
      <c r="AC14" s="53"/>
      <c r="AD14" s="53"/>
      <c r="AE14" s="53"/>
      <c r="AF14" s="53"/>
    </row>
    <row r="15" spans="1:32" ht="18.75">
      <c r="A15" s="18">
        <v>2</v>
      </c>
      <c r="B15" s="18"/>
      <c r="C15" s="18" t="s">
        <v>37</v>
      </c>
      <c r="D15" s="18"/>
      <c r="E15" s="18"/>
      <c r="F15" s="18"/>
      <c r="G15" s="18"/>
      <c r="H15" s="18"/>
      <c r="I15" s="18"/>
      <c r="J15" s="18"/>
      <c r="K15" s="18"/>
      <c r="L15" s="56"/>
      <c r="M15" s="53"/>
      <c r="N15" s="53"/>
      <c r="O15" s="53"/>
      <c r="P15" s="58"/>
      <c r="Q15" s="60"/>
      <c r="R15" s="61"/>
      <c r="S15" s="53"/>
      <c r="T15" s="53"/>
      <c r="U15" s="53"/>
      <c r="V15" s="53"/>
      <c r="W15" s="53"/>
      <c r="X15" s="53"/>
      <c r="Y15" s="53"/>
      <c r="Z15" s="53"/>
      <c r="AA15" s="53"/>
      <c r="AB15" s="53"/>
      <c r="AC15" s="53"/>
      <c r="AD15" s="53"/>
      <c r="AE15" s="53"/>
      <c r="AF15" s="53"/>
    </row>
    <row r="16" spans="1:32" ht="18.75">
      <c r="A16" s="22" t="s">
        <v>38</v>
      </c>
      <c r="B16" s="23" t="s">
        <v>39</v>
      </c>
      <c r="C16" s="22" t="s">
        <v>40</v>
      </c>
      <c r="D16" s="22" t="s">
        <v>41</v>
      </c>
      <c r="E16" s="54">
        <v>3</v>
      </c>
      <c r="F16" s="54">
        <v>456.77</v>
      </c>
      <c r="G16" s="55">
        <f>F16*1.256*0.8</f>
        <v>458.96249600000004</v>
      </c>
      <c r="H16" s="55">
        <f>F16*1.256*0.2</f>
        <v>114.74062400000001</v>
      </c>
      <c r="I16" s="55">
        <f>E16*G16</f>
        <v>1376.8874880000001</v>
      </c>
      <c r="J16" s="55">
        <f>E16*H16</f>
        <v>344.22187200000002</v>
      </c>
      <c r="K16" s="55">
        <f>ROUND((I16+J16),2)</f>
        <v>1721.11</v>
      </c>
      <c r="L16" s="56"/>
      <c r="M16" s="53"/>
      <c r="N16" s="53"/>
      <c r="O16" s="53"/>
      <c r="P16" s="58"/>
      <c r="Q16" s="53"/>
      <c r="R16" s="59"/>
      <c r="S16" s="53"/>
      <c r="T16" s="53"/>
      <c r="U16" s="53"/>
      <c r="V16" s="53"/>
      <c r="W16" s="53"/>
      <c r="X16" s="53"/>
      <c r="Y16" s="53"/>
      <c r="Z16" s="53"/>
      <c r="AA16" s="53"/>
      <c r="AB16" s="53"/>
      <c r="AC16" s="53"/>
      <c r="AD16" s="53"/>
      <c r="AE16" s="53"/>
      <c r="AF16" s="53"/>
    </row>
    <row r="17" spans="1:32" ht="15" customHeight="1">
      <c r="A17" s="18">
        <v>3</v>
      </c>
      <c r="B17" s="18"/>
      <c r="C17" s="19" t="s">
        <v>43</v>
      </c>
      <c r="D17" s="18"/>
      <c r="E17" s="18"/>
      <c r="F17" s="18"/>
      <c r="G17" s="18"/>
      <c r="H17" s="18"/>
      <c r="I17" s="18"/>
      <c r="J17" s="18"/>
      <c r="K17" s="18"/>
      <c r="L17" s="56"/>
      <c r="M17" s="53"/>
      <c r="N17" s="53"/>
      <c r="O17" s="52"/>
      <c r="P17" s="58"/>
      <c r="Q17" s="53"/>
      <c r="R17" s="61"/>
      <c r="S17" s="52"/>
      <c r="T17" s="52"/>
      <c r="U17" s="52"/>
      <c r="V17" s="52"/>
      <c r="W17" s="52"/>
      <c r="X17" s="52"/>
      <c r="Y17" s="52"/>
      <c r="Z17" s="52"/>
      <c r="AA17" s="52"/>
      <c r="AB17" s="52"/>
      <c r="AC17" s="52"/>
      <c r="AD17" s="52"/>
      <c r="AE17" s="52"/>
      <c r="AF17" s="52"/>
    </row>
    <row r="18" spans="1:32" ht="37.5" customHeight="1">
      <c r="A18" s="22" t="s">
        <v>44</v>
      </c>
      <c r="B18" s="23" t="s">
        <v>45</v>
      </c>
      <c r="C18" s="29" t="s">
        <v>46</v>
      </c>
      <c r="D18" s="22" t="s">
        <v>47</v>
      </c>
      <c r="E18" s="27">
        <v>13124.84</v>
      </c>
      <c r="F18" s="54">
        <v>6.22</v>
      </c>
      <c r="G18" s="55">
        <f t="shared" ref="G18:G26" si="5">F18*1.256*0.8</f>
        <v>6.2498560000000003</v>
      </c>
      <c r="H18" s="55">
        <f t="shared" ref="H18:H26" si="6">F18*1.256*0.2</f>
        <v>1.5624640000000001</v>
      </c>
      <c r="I18" s="55">
        <f t="shared" ref="I18:I26" si="7">E18*G18</f>
        <v>82028.360023040004</v>
      </c>
      <c r="J18" s="55">
        <f t="shared" ref="J18:J26" si="8">E18*H18</f>
        <v>20507.090005760001</v>
      </c>
      <c r="K18" s="55">
        <f t="shared" ref="K18:K26" si="9">ROUND((I18+J18),2)</f>
        <v>102535.45</v>
      </c>
      <c r="L18" s="56"/>
      <c r="M18" s="53"/>
      <c r="N18" s="53"/>
      <c r="O18" s="53"/>
      <c r="P18" s="58"/>
      <c r="Q18" s="60"/>
      <c r="R18" s="59"/>
      <c r="S18" s="53"/>
      <c r="T18" s="53"/>
      <c r="U18" s="53"/>
      <c r="V18" s="53"/>
      <c r="W18" s="53"/>
      <c r="X18" s="53"/>
      <c r="Y18" s="53"/>
      <c r="Z18" s="53"/>
      <c r="AA18" s="53"/>
      <c r="AB18" s="53"/>
      <c r="AC18" s="53"/>
      <c r="AD18" s="53"/>
      <c r="AE18" s="53"/>
      <c r="AF18" s="53"/>
    </row>
    <row r="19" spans="1:32" ht="45.75" customHeight="1">
      <c r="A19" s="22" t="s">
        <v>49</v>
      </c>
      <c r="B19" s="23" t="s">
        <v>50</v>
      </c>
      <c r="C19" s="29" t="s">
        <v>51</v>
      </c>
      <c r="D19" s="22" t="s">
        <v>52</v>
      </c>
      <c r="E19" s="27">
        <f>E18*1.3*6.1</f>
        <v>104079.98119999999</v>
      </c>
      <c r="F19" s="54">
        <v>2.5099999999999998</v>
      </c>
      <c r="G19" s="55">
        <f t="shared" si="5"/>
        <v>2.5220479999999998</v>
      </c>
      <c r="H19" s="55">
        <f t="shared" si="6"/>
        <v>0.63051199999999996</v>
      </c>
      <c r="I19" s="55">
        <f t="shared" si="7"/>
        <v>262494.70842549758</v>
      </c>
      <c r="J19" s="55">
        <f t="shared" si="8"/>
        <v>65623.677106374394</v>
      </c>
      <c r="K19" s="55">
        <f t="shared" si="9"/>
        <v>328118.39</v>
      </c>
      <c r="L19" s="56"/>
      <c r="M19" s="53"/>
      <c r="N19" s="53"/>
      <c r="O19" s="62"/>
      <c r="P19" s="58"/>
      <c r="R19" s="59"/>
      <c r="S19" s="63"/>
      <c r="T19" s="63"/>
      <c r="U19" s="63"/>
      <c r="V19" s="63"/>
      <c r="W19" s="63"/>
      <c r="X19" s="63"/>
      <c r="Y19" s="63"/>
      <c r="Z19" s="63"/>
      <c r="AA19" s="63"/>
      <c r="AB19" s="63"/>
      <c r="AC19" s="63"/>
      <c r="AD19" s="63"/>
      <c r="AE19" s="63"/>
      <c r="AF19" s="63"/>
    </row>
    <row r="20" spans="1:32" ht="37.5">
      <c r="A20" s="22" t="s">
        <v>54</v>
      </c>
      <c r="B20" s="23" t="s">
        <v>96</v>
      </c>
      <c r="C20" s="34" t="s">
        <v>56</v>
      </c>
      <c r="D20" s="22" t="s">
        <v>47</v>
      </c>
      <c r="E20" s="27">
        <v>4479.97</v>
      </c>
      <c r="F20" s="54">
        <v>21</v>
      </c>
      <c r="G20" s="55">
        <f t="shared" si="5"/>
        <v>21.100800000000003</v>
      </c>
      <c r="H20" s="55">
        <f t="shared" si="6"/>
        <v>5.2752000000000008</v>
      </c>
      <c r="I20" s="55">
        <f t="shared" si="7"/>
        <v>94530.950976000022</v>
      </c>
      <c r="J20" s="55">
        <f t="shared" si="8"/>
        <v>23632.737744000005</v>
      </c>
      <c r="K20" s="55">
        <f t="shared" si="9"/>
        <v>118163.69</v>
      </c>
      <c r="L20" s="56"/>
      <c r="M20" s="53"/>
      <c r="N20" s="53"/>
      <c r="O20" s="62"/>
      <c r="P20" s="58"/>
      <c r="R20" s="59"/>
      <c r="S20" s="63"/>
      <c r="T20" s="63"/>
      <c r="U20" s="63"/>
      <c r="V20" s="63"/>
      <c r="W20" s="63"/>
      <c r="X20" s="63"/>
      <c r="Y20" s="63"/>
      <c r="Z20" s="63"/>
      <c r="AA20" s="63"/>
      <c r="AB20" s="63"/>
      <c r="AC20" s="63"/>
      <c r="AD20" s="63"/>
      <c r="AE20" s="63"/>
      <c r="AF20" s="63"/>
    </row>
    <row r="21" spans="1:32" ht="37.5">
      <c r="A21" s="22" t="s">
        <v>58</v>
      </c>
      <c r="B21" s="23" t="s">
        <v>50</v>
      </c>
      <c r="C21" s="29" t="s">
        <v>59</v>
      </c>
      <c r="D21" s="22" t="s">
        <v>52</v>
      </c>
      <c r="E21" s="27">
        <f>E20*1.3*6.1</f>
        <v>35526.162100000001</v>
      </c>
      <c r="F21" s="54">
        <v>2.5099999999999998</v>
      </c>
      <c r="G21" s="55">
        <f t="shared" si="5"/>
        <v>2.5220479999999998</v>
      </c>
      <c r="H21" s="55">
        <f t="shared" si="6"/>
        <v>0.63051199999999996</v>
      </c>
      <c r="I21" s="55">
        <f t="shared" si="7"/>
        <v>89598.686071980803</v>
      </c>
      <c r="J21" s="55">
        <f t="shared" si="8"/>
        <v>22399.671517995201</v>
      </c>
      <c r="K21" s="55">
        <f t="shared" si="9"/>
        <v>111998.36</v>
      </c>
      <c r="L21" s="56"/>
      <c r="M21" s="53"/>
      <c r="N21" s="53"/>
      <c r="O21" s="62"/>
      <c r="P21" s="58"/>
      <c r="R21" s="59"/>
      <c r="S21" s="63"/>
      <c r="T21" s="63"/>
      <c r="U21" s="63"/>
      <c r="V21" s="63"/>
      <c r="W21" s="63"/>
      <c r="X21" s="63"/>
      <c r="Y21" s="63"/>
      <c r="Z21" s="63"/>
      <c r="AA21" s="63"/>
      <c r="AB21" s="63"/>
      <c r="AC21" s="63"/>
      <c r="AD21" s="63"/>
      <c r="AE21" s="63"/>
      <c r="AF21" s="63"/>
    </row>
    <row r="22" spans="1:32" ht="38.25" customHeight="1">
      <c r="A22" s="22" t="s">
        <v>61</v>
      </c>
      <c r="B22" s="23" t="s">
        <v>62</v>
      </c>
      <c r="C22" s="22" t="s">
        <v>63</v>
      </c>
      <c r="D22" s="22" t="s">
        <v>47</v>
      </c>
      <c r="E22" s="54">
        <v>17062.29</v>
      </c>
      <c r="F22" s="54">
        <v>1.42</v>
      </c>
      <c r="G22" s="55">
        <f t="shared" si="5"/>
        <v>1.4268160000000001</v>
      </c>
      <c r="H22" s="55">
        <f t="shared" si="6"/>
        <v>0.35670400000000002</v>
      </c>
      <c r="I22" s="55">
        <f t="shared" si="7"/>
        <v>24344.748368640001</v>
      </c>
      <c r="J22" s="55">
        <f t="shared" si="8"/>
        <v>6086.1870921600002</v>
      </c>
      <c r="K22" s="55">
        <f t="shared" si="9"/>
        <v>30430.94</v>
      </c>
      <c r="L22" s="56"/>
      <c r="M22" s="53"/>
      <c r="N22" s="53"/>
      <c r="O22" s="62"/>
      <c r="P22" s="58"/>
      <c r="Q22" s="64"/>
      <c r="R22" s="59"/>
      <c r="S22" s="63"/>
      <c r="T22" s="63"/>
      <c r="U22" s="63"/>
      <c r="V22" s="63"/>
      <c r="W22" s="63"/>
      <c r="X22" s="63"/>
      <c r="Y22" s="63"/>
      <c r="Z22" s="63"/>
      <c r="AA22" s="63"/>
      <c r="AB22" s="63"/>
      <c r="AC22" s="63"/>
      <c r="AD22" s="63"/>
      <c r="AE22" s="63"/>
      <c r="AF22" s="63"/>
    </row>
    <row r="23" spans="1:32" ht="38.25" customHeight="1">
      <c r="A23" s="22" t="s">
        <v>65</v>
      </c>
      <c r="B23" s="23" t="s">
        <v>62</v>
      </c>
      <c r="C23" s="29" t="s">
        <v>97</v>
      </c>
      <c r="D23" s="22" t="s">
        <v>47</v>
      </c>
      <c r="E23" s="27">
        <v>9994.26</v>
      </c>
      <c r="F23" s="54">
        <v>1.42</v>
      </c>
      <c r="G23" s="55">
        <f t="shared" si="5"/>
        <v>1.4268160000000001</v>
      </c>
      <c r="H23" s="55">
        <f t="shared" si="6"/>
        <v>0.35670400000000002</v>
      </c>
      <c r="I23" s="55">
        <f t="shared" si="7"/>
        <v>14259.970076160002</v>
      </c>
      <c r="J23" s="55">
        <f t="shared" si="8"/>
        <v>3564.9925190400004</v>
      </c>
      <c r="K23" s="55">
        <f t="shared" si="9"/>
        <v>17824.96</v>
      </c>
      <c r="L23" s="56"/>
      <c r="M23" s="53"/>
      <c r="N23" s="53"/>
      <c r="O23" s="62"/>
      <c r="P23" s="58"/>
      <c r="Q23" s="64"/>
      <c r="R23" s="59"/>
      <c r="S23" s="63"/>
      <c r="T23" s="63"/>
      <c r="U23" s="63"/>
      <c r="V23" s="63"/>
      <c r="W23" s="63"/>
      <c r="X23" s="63"/>
      <c r="Y23" s="63"/>
      <c r="Z23" s="63"/>
      <c r="AA23" s="63"/>
      <c r="AB23" s="63"/>
      <c r="AC23" s="63"/>
      <c r="AD23" s="63"/>
      <c r="AE23" s="63"/>
      <c r="AF23" s="63"/>
    </row>
    <row r="24" spans="1:32" ht="56.25">
      <c r="A24" s="22" t="s">
        <v>68</v>
      </c>
      <c r="B24" s="23" t="s">
        <v>69</v>
      </c>
      <c r="C24" s="29" t="s">
        <v>70</v>
      </c>
      <c r="D24" s="22" t="s">
        <v>47</v>
      </c>
      <c r="E24" s="27">
        <f>'MEMÓRIA  DE CÁLCULO QUANTITATIV'!E22</f>
        <v>20812.73</v>
      </c>
      <c r="F24" s="54">
        <v>6.34</v>
      </c>
      <c r="G24" s="55">
        <f t="shared" si="5"/>
        <v>6.3704320000000001</v>
      </c>
      <c r="H24" s="55">
        <f t="shared" si="6"/>
        <v>1.592608</v>
      </c>
      <c r="I24" s="55">
        <f t="shared" si="7"/>
        <v>132586.08119935999</v>
      </c>
      <c r="J24" s="55">
        <f t="shared" si="8"/>
        <v>33146.520299839998</v>
      </c>
      <c r="K24" s="55">
        <f t="shared" si="9"/>
        <v>165732.6</v>
      </c>
      <c r="L24" s="56"/>
      <c r="M24" s="53"/>
      <c r="N24" s="53"/>
      <c r="O24" s="62"/>
      <c r="P24" s="58"/>
      <c r="Q24" s="65"/>
      <c r="R24" s="59"/>
      <c r="S24" s="63"/>
      <c r="T24" s="63"/>
      <c r="U24" s="63"/>
      <c r="V24" s="63"/>
      <c r="W24" s="63"/>
      <c r="X24" s="63"/>
      <c r="Y24" s="63"/>
      <c r="Z24" s="63"/>
      <c r="AA24" s="63"/>
      <c r="AB24" s="63"/>
      <c r="AC24" s="63"/>
      <c r="AD24" s="63"/>
      <c r="AE24" s="63"/>
      <c r="AF24" s="63"/>
    </row>
    <row r="25" spans="1:32" ht="37.5">
      <c r="A25" s="22" t="s">
        <v>72</v>
      </c>
      <c r="B25" s="23" t="s">
        <v>73</v>
      </c>
      <c r="C25" s="29" t="s">
        <v>98</v>
      </c>
      <c r="D25" s="22" t="s">
        <v>47</v>
      </c>
      <c r="E25" s="27">
        <v>200</v>
      </c>
      <c r="F25" s="54">
        <v>111.97</v>
      </c>
      <c r="G25" s="55">
        <f t="shared" si="5"/>
        <v>112.507456</v>
      </c>
      <c r="H25" s="55">
        <f t="shared" si="6"/>
        <v>28.126864000000001</v>
      </c>
      <c r="I25" s="55">
        <f t="shared" si="7"/>
        <v>22501.4912</v>
      </c>
      <c r="J25" s="55">
        <f t="shared" si="8"/>
        <v>5625.3728000000001</v>
      </c>
      <c r="K25" s="55">
        <f t="shared" si="9"/>
        <v>28126.86</v>
      </c>
      <c r="L25" s="56"/>
      <c r="M25" s="53"/>
      <c r="N25" s="53"/>
      <c r="O25" s="62"/>
      <c r="P25" s="58"/>
      <c r="Q25" s="65"/>
      <c r="R25" s="59"/>
      <c r="S25" s="63"/>
      <c r="T25" s="63"/>
      <c r="U25" s="63"/>
      <c r="V25" s="63"/>
      <c r="W25" s="63"/>
      <c r="X25" s="63"/>
      <c r="Y25" s="63"/>
      <c r="Z25" s="63"/>
      <c r="AA25" s="63"/>
      <c r="AB25" s="63"/>
      <c r="AC25" s="63"/>
      <c r="AD25" s="63"/>
      <c r="AE25" s="63"/>
      <c r="AF25" s="63"/>
    </row>
    <row r="26" spans="1:32" ht="18.75">
      <c r="A26" s="22" t="s">
        <v>76</v>
      </c>
      <c r="B26" s="23" t="s">
        <v>77</v>
      </c>
      <c r="C26" s="34" t="s">
        <v>78</v>
      </c>
      <c r="D26" s="22" t="s">
        <v>52</v>
      </c>
      <c r="E26" s="27">
        <f>E25*1.3*15</f>
        <v>3900</v>
      </c>
      <c r="F26" s="54">
        <v>2.27</v>
      </c>
      <c r="G26" s="55">
        <f t="shared" si="5"/>
        <v>2.2808959999999998</v>
      </c>
      <c r="H26" s="55">
        <f t="shared" si="6"/>
        <v>0.57022399999999995</v>
      </c>
      <c r="I26" s="55">
        <f t="shared" si="7"/>
        <v>8895.4943999999996</v>
      </c>
      <c r="J26" s="55">
        <f t="shared" si="8"/>
        <v>2223.8735999999999</v>
      </c>
      <c r="K26" s="55">
        <f t="shared" si="9"/>
        <v>11119.37</v>
      </c>
      <c r="L26" s="56"/>
      <c r="M26" s="53"/>
      <c r="N26" s="53"/>
      <c r="O26" s="62"/>
      <c r="P26" s="58"/>
      <c r="Q26" s="65"/>
      <c r="R26" s="59"/>
      <c r="S26" s="63"/>
      <c r="T26" s="63"/>
      <c r="U26" s="63"/>
      <c r="V26" s="63"/>
      <c r="W26" s="63"/>
      <c r="X26" s="63"/>
      <c r="Y26" s="63"/>
      <c r="Z26" s="63"/>
      <c r="AA26" s="63"/>
      <c r="AB26" s="63"/>
      <c r="AC26" s="63"/>
      <c r="AD26" s="63"/>
      <c r="AE26" s="63"/>
      <c r="AF26" s="63"/>
    </row>
    <row r="27" spans="1:32" ht="18.75">
      <c r="A27" s="18">
        <v>4</v>
      </c>
      <c r="B27" s="18"/>
      <c r="C27" s="18" t="s">
        <v>80</v>
      </c>
      <c r="D27" s="18"/>
      <c r="E27" s="66"/>
      <c r="F27" s="18"/>
      <c r="G27" s="18"/>
      <c r="H27" s="18"/>
      <c r="I27" s="18"/>
      <c r="J27" s="18"/>
      <c r="K27" s="18"/>
      <c r="L27" s="56"/>
      <c r="M27" s="53"/>
      <c r="N27" s="53"/>
      <c r="O27" s="67"/>
      <c r="P27" s="58"/>
      <c r="Q27" s="67"/>
      <c r="R27" s="61"/>
      <c r="S27" s="67"/>
      <c r="T27" s="67"/>
      <c r="U27" s="67"/>
      <c r="V27" s="67"/>
      <c r="W27" s="67"/>
      <c r="X27" s="67"/>
      <c r="Y27" s="67"/>
      <c r="Z27" s="67"/>
      <c r="AA27" s="67"/>
      <c r="AB27" s="67"/>
      <c r="AC27" s="67"/>
      <c r="AD27" s="67"/>
      <c r="AE27" s="67"/>
      <c r="AF27" s="67"/>
    </row>
    <row r="28" spans="1:32" ht="37.5">
      <c r="A28" s="22" t="s">
        <v>81</v>
      </c>
      <c r="B28" s="68" t="s">
        <v>82</v>
      </c>
      <c r="C28" s="29" t="s">
        <v>99</v>
      </c>
      <c r="D28" s="23" t="s">
        <v>100</v>
      </c>
      <c r="E28" s="54">
        <v>300</v>
      </c>
      <c r="F28" s="54">
        <v>1.95</v>
      </c>
      <c r="G28" s="54">
        <f>F28*1.256*0.8</f>
        <v>1.95936</v>
      </c>
      <c r="H28" s="55">
        <f>F28*1.256*0.2</f>
        <v>0.48984</v>
      </c>
      <c r="I28" s="55">
        <f>E28*G28</f>
        <v>587.80799999999999</v>
      </c>
      <c r="J28" s="55">
        <f>E28*H28</f>
        <v>146.952</v>
      </c>
      <c r="K28" s="55">
        <f>ROUND((I28+J28),2)</f>
        <v>734.76</v>
      </c>
      <c r="L28" s="56"/>
      <c r="M28" s="53"/>
      <c r="N28" s="53"/>
      <c r="O28" s="57"/>
      <c r="P28" s="58"/>
      <c r="Q28" s="57"/>
      <c r="R28" s="59"/>
      <c r="S28" s="57"/>
      <c r="T28" s="57"/>
      <c r="U28" s="57"/>
      <c r="V28" s="57"/>
      <c r="W28" s="57"/>
      <c r="X28" s="57"/>
      <c r="Y28" s="57"/>
      <c r="Z28" s="57"/>
      <c r="AA28" s="57"/>
      <c r="AB28" s="57"/>
      <c r="AC28" s="57"/>
      <c r="AD28" s="57"/>
      <c r="AE28" s="57"/>
      <c r="AF28" s="57"/>
    </row>
    <row r="29" spans="1:32" ht="18.75">
      <c r="A29" s="69"/>
      <c r="B29" s="70"/>
      <c r="C29" s="71"/>
      <c r="D29" s="71"/>
      <c r="E29" s="72"/>
      <c r="F29" s="72"/>
      <c r="G29" s="59"/>
      <c r="H29" s="55"/>
      <c r="I29" s="73"/>
      <c r="J29" s="73"/>
      <c r="K29" s="74"/>
      <c r="L29" s="56"/>
    </row>
    <row r="30" spans="1:32" ht="18.75">
      <c r="A30" s="69"/>
      <c r="B30" s="75"/>
      <c r="C30" s="76" t="s">
        <v>101</v>
      </c>
      <c r="D30" s="69"/>
      <c r="E30" s="72"/>
      <c r="F30" s="72"/>
      <c r="G30" s="69"/>
      <c r="H30" s="77" t="s">
        <v>102</v>
      </c>
      <c r="I30" s="73">
        <f>ROUND(SUM(I12:I29),2)</f>
        <v>758442.25</v>
      </c>
      <c r="J30" s="73">
        <f>ROUND(SUM(J12:J29),2)</f>
        <v>189610.56</v>
      </c>
      <c r="K30" s="73">
        <f>ROUND(SUM(K12:K29),2)</f>
        <v>948052.81</v>
      </c>
      <c r="L30" s="78"/>
    </row>
    <row r="31" spans="1:32" ht="18.75">
      <c r="A31" s="79"/>
      <c r="B31" s="80"/>
      <c r="C31" s="76" t="s">
        <v>103</v>
      </c>
      <c r="D31" s="81"/>
      <c r="E31" s="82"/>
      <c r="F31" s="82"/>
      <c r="G31" s="81"/>
      <c r="H31" s="76"/>
      <c r="I31" s="83"/>
      <c r="J31" s="83"/>
      <c r="K31" s="83"/>
      <c r="M31" s="78"/>
    </row>
    <row r="32" spans="1:32" ht="18.75">
      <c r="A32" s="70"/>
      <c r="B32" s="84"/>
      <c r="C32" s="76" t="s">
        <v>104</v>
      </c>
      <c r="D32" s="85"/>
      <c r="E32" s="86"/>
      <c r="F32" s="86"/>
      <c r="G32" s="70"/>
      <c r="H32" s="70"/>
      <c r="I32" s="70"/>
      <c r="J32" s="70"/>
      <c r="K32" s="70"/>
      <c r="Q32" s="65"/>
    </row>
    <row r="33" spans="1:32" ht="18.75">
      <c r="A33" s="87"/>
      <c r="B33" s="87"/>
      <c r="C33" s="76" t="s">
        <v>105</v>
      </c>
      <c r="D33" s="88"/>
      <c r="E33" s="89"/>
      <c r="F33" s="89"/>
      <c r="G33" s="87"/>
      <c r="H33" s="87"/>
      <c r="I33" s="90"/>
      <c r="J33" s="90"/>
      <c r="K33" s="90"/>
      <c r="S33"/>
      <c r="T33"/>
      <c r="U33"/>
      <c r="V33"/>
      <c r="W33"/>
      <c r="X33"/>
      <c r="Y33"/>
      <c r="Z33"/>
      <c r="AA33"/>
      <c r="AB33"/>
      <c r="AC33"/>
      <c r="AD33"/>
      <c r="AE33"/>
      <c r="AF33"/>
    </row>
    <row r="34" spans="1:32" ht="18.75">
      <c r="A34" s="91"/>
      <c r="B34" s="92"/>
      <c r="C34" s="93"/>
      <c r="D34" s="88"/>
      <c r="E34" s="94"/>
      <c r="F34" s="94"/>
      <c r="G34" s="91"/>
      <c r="H34" s="91"/>
      <c r="I34" s="95"/>
      <c r="J34" s="96"/>
      <c r="K34" s="96"/>
      <c r="S34"/>
      <c r="T34"/>
      <c r="U34"/>
      <c r="V34"/>
      <c r="W34"/>
      <c r="X34"/>
      <c r="Y34"/>
      <c r="Z34"/>
      <c r="AA34"/>
      <c r="AB34"/>
      <c r="AC34"/>
      <c r="AD34"/>
      <c r="AE34"/>
      <c r="AF34"/>
    </row>
    <row r="35" spans="1:32" hidden="1">
      <c r="I35" s="97"/>
      <c r="J35" s="98"/>
      <c r="K35" s="98"/>
      <c r="S35"/>
      <c r="T35"/>
      <c r="U35"/>
      <c r="V35"/>
      <c r="W35"/>
      <c r="X35"/>
      <c r="Y35"/>
      <c r="Z35"/>
      <c r="AA35"/>
      <c r="AB35"/>
      <c r="AC35"/>
      <c r="AD35"/>
      <c r="AE35"/>
      <c r="AF35"/>
    </row>
    <row r="36" spans="1:32" hidden="1">
      <c r="S36"/>
      <c r="T36"/>
      <c r="U36"/>
      <c r="V36"/>
      <c r="W36"/>
      <c r="X36"/>
      <c r="Y36"/>
      <c r="Z36"/>
      <c r="AA36"/>
      <c r="AB36"/>
      <c r="AC36"/>
      <c r="AD36"/>
      <c r="AE36"/>
      <c r="AF36"/>
    </row>
    <row r="37" spans="1:32" hidden="1">
      <c r="A37" t="s">
        <v>106</v>
      </c>
      <c r="J37" t="e">
        <f>J31/K31</f>
        <v>#DIV/0!</v>
      </c>
      <c r="S37"/>
      <c r="T37"/>
      <c r="U37"/>
      <c r="V37"/>
      <c r="W37"/>
      <c r="X37"/>
      <c r="Y37"/>
      <c r="Z37"/>
      <c r="AA37"/>
      <c r="AB37"/>
      <c r="AC37"/>
      <c r="AD37"/>
      <c r="AE37"/>
      <c r="AF37"/>
    </row>
    <row r="38" spans="1:32" hidden="1">
      <c r="A38" t="s">
        <v>107</v>
      </c>
      <c r="S38"/>
      <c r="T38"/>
      <c r="U38"/>
      <c r="V38"/>
      <c r="W38"/>
      <c r="X38"/>
      <c r="Y38"/>
      <c r="Z38"/>
      <c r="AA38"/>
      <c r="AB38"/>
      <c r="AC38"/>
      <c r="AD38"/>
      <c r="AE38"/>
      <c r="AF38"/>
    </row>
    <row r="39" spans="1:32" hidden="1">
      <c r="A39" s="4" t="s">
        <v>108</v>
      </c>
      <c r="S39"/>
      <c r="T39"/>
      <c r="U39"/>
      <c r="V39"/>
      <c r="W39"/>
      <c r="X39"/>
      <c r="Y39"/>
      <c r="Z39"/>
      <c r="AA39"/>
      <c r="AB39"/>
      <c r="AC39"/>
      <c r="AD39"/>
      <c r="AE39"/>
      <c r="AF39"/>
    </row>
    <row r="40" spans="1:32" hidden="1">
      <c r="A40" s="4" t="s">
        <v>109</v>
      </c>
      <c r="S40"/>
      <c r="T40"/>
      <c r="U40"/>
      <c r="V40"/>
      <c r="W40"/>
      <c r="X40"/>
      <c r="Y40"/>
      <c r="Z40"/>
      <c r="AA40"/>
      <c r="AB40"/>
      <c r="AC40"/>
      <c r="AD40"/>
      <c r="AE40"/>
      <c r="AF40"/>
    </row>
    <row r="41" spans="1:32" hidden="1">
      <c r="S41"/>
      <c r="T41"/>
      <c r="U41"/>
      <c r="V41"/>
      <c r="W41"/>
      <c r="X41"/>
      <c r="Y41"/>
      <c r="Z41"/>
      <c r="AA41"/>
      <c r="AB41"/>
      <c r="AC41"/>
      <c r="AD41"/>
      <c r="AE41"/>
      <c r="AF41"/>
    </row>
    <row r="42" spans="1:32" hidden="1">
      <c r="A42" s="4" t="s">
        <v>110</v>
      </c>
      <c r="S42"/>
      <c r="T42"/>
      <c r="U42"/>
      <c r="V42"/>
      <c r="W42"/>
      <c r="X42"/>
      <c r="Y42"/>
      <c r="Z42"/>
      <c r="AA42"/>
      <c r="AB42"/>
      <c r="AC42"/>
      <c r="AD42"/>
      <c r="AE42"/>
      <c r="AF42"/>
    </row>
    <row r="43" spans="1:32" hidden="1">
      <c r="A43" t="s">
        <v>111</v>
      </c>
      <c r="S43"/>
      <c r="T43"/>
      <c r="U43"/>
      <c r="V43"/>
      <c r="W43"/>
      <c r="X43"/>
      <c r="Y43"/>
      <c r="Z43"/>
      <c r="AA43"/>
      <c r="AB43"/>
      <c r="AC43"/>
      <c r="AD43"/>
      <c r="AE43"/>
      <c r="AF43"/>
    </row>
    <row r="44" spans="1:32" hidden="1">
      <c r="A44" t="s">
        <v>112</v>
      </c>
      <c r="S44"/>
      <c r="T44"/>
      <c r="U44"/>
      <c r="V44"/>
      <c r="W44"/>
      <c r="X44"/>
      <c r="Y44"/>
      <c r="Z44"/>
      <c r="AA44"/>
      <c r="AB44"/>
      <c r="AC44"/>
      <c r="AD44"/>
      <c r="AE44"/>
      <c r="AF44"/>
    </row>
    <row r="45" spans="1:32" hidden="1">
      <c r="A45" t="s">
        <v>113</v>
      </c>
      <c r="S45"/>
      <c r="T45"/>
      <c r="U45"/>
      <c r="V45"/>
      <c r="W45"/>
      <c r="X45"/>
      <c r="Y45"/>
      <c r="Z45"/>
      <c r="AA45"/>
      <c r="AB45"/>
      <c r="AC45"/>
      <c r="AD45"/>
      <c r="AE45"/>
      <c r="AF45"/>
    </row>
    <row r="46" spans="1:32" hidden="1">
      <c r="S46"/>
      <c r="T46"/>
      <c r="U46"/>
      <c r="V46"/>
      <c r="W46"/>
      <c r="X46"/>
      <c r="Y46"/>
      <c r="Z46"/>
      <c r="AA46"/>
      <c r="AB46"/>
      <c r="AC46"/>
      <c r="AD46"/>
      <c r="AE46"/>
      <c r="AF46"/>
    </row>
    <row r="47" spans="1:32" hidden="1">
      <c r="A47" t="s">
        <v>114</v>
      </c>
      <c r="S47"/>
      <c r="T47"/>
      <c r="U47"/>
      <c r="V47"/>
      <c r="W47"/>
      <c r="X47"/>
      <c r="Y47"/>
      <c r="Z47"/>
      <c r="AA47"/>
      <c r="AB47"/>
      <c r="AC47"/>
      <c r="AD47"/>
      <c r="AE47"/>
      <c r="AF47"/>
    </row>
    <row r="48" spans="1:32" hidden="1">
      <c r="A48" t="s">
        <v>115</v>
      </c>
      <c r="S48"/>
      <c r="T48"/>
      <c r="U48"/>
      <c r="V48"/>
      <c r="W48"/>
      <c r="X48"/>
      <c r="Y48"/>
      <c r="Z48"/>
      <c r="AA48"/>
      <c r="AB48"/>
      <c r="AC48"/>
      <c r="AD48"/>
      <c r="AE48"/>
      <c r="AF48"/>
    </row>
    <row r="49" spans="1:32" ht="12.75" hidden="1">
      <c r="A49" t="s">
        <v>116</v>
      </c>
      <c r="B49"/>
      <c r="C49"/>
      <c r="D49"/>
      <c r="S49"/>
      <c r="T49"/>
      <c r="U49"/>
      <c r="V49"/>
      <c r="W49"/>
      <c r="X49"/>
      <c r="Y49"/>
      <c r="Z49"/>
      <c r="AA49"/>
      <c r="AB49"/>
      <c r="AC49"/>
      <c r="AD49"/>
      <c r="AE49"/>
      <c r="AF49"/>
    </row>
    <row r="50" spans="1:32" ht="12.75" hidden="1">
      <c r="B50"/>
      <c r="C50"/>
      <c r="D50"/>
      <c r="S50"/>
      <c r="T50"/>
      <c r="U50"/>
      <c r="V50"/>
      <c r="W50"/>
      <c r="X50"/>
      <c r="Y50"/>
      <c r="Z50"/>
      <c r="AA50"/>
      <c r="AB50"/>
      <c r="AC50"/>
      <c r="AD50"/>
      <c r="AE50"/>
      <c r="AF50"/>
    </row>
    <row r="51" spans="1:32" ht="12.75" hidden="1">
      <c r="A51" t="s">
        <v>117</v>
      </c>
      <c r="B51"/>
      <c r="C51"/>
      <c r="D51"/>
      <c r="S51"/>
      <c r="T51"/>
      <c r="U51"/>
      <c r="V51"/>
      <c r="W51"/>
      <c r="X51"/>
      <c r="Y51"/>
      <c r="Z51"/>
      <c r="AA51"/>
      <c r="AB51"/>
      <c r="AC51"/>
      <c r="AD51"/>
      <c r="AE51"/>
      <c r="AF51"/>
    </row>
    <row r="52" spans="1:32" ht="12.75" hidden="1">
      <c r="A52" t="s">
        <v>118</v>
      </c>
      <c r="B52"/>
      <c r="C52"/>
      <c r="D52"/>
      <c r="S52"/>
      <c r="T52"/>
      <c r="U52"/>
      <c r="V52"/>
      <c r="W52"/>
      <c r="X52"/>
      <c r="Y52"/>
      <c r="Z52"/>
      <c r="AA52"/>
      <c r="AB52"/>
      <c r="AC52"/>
      <c r="AD52"/>
      <c r="AE52"/>
      <c r="AF52"/>
    </row>
    <row r="53" spans="1:32" ht="12.75" hidden="1">
      <c r="A53" t="s">
        <v>119</v>
      </c>
      <c r="B53"/>
      <c r="C53"/>
      <c r="D53"/>
      <c r="S53"/>
      <c r="T53"/>
      <c r="U53"/>
      <c r="V53"/>
      <c r="W53"/>
      <c r="X53"/>
      <c r="Y53"/>
      <c r="Z53"/>
      <c r="AA53"/>
      <c r="AB53"/>
      <c r="AC53"/>
      <c r="AD53"/>
      <c r="AE53"/>
      <c r="AF53"/>
    </row>
    <row r="54" spans="1:32" ht="12.75" hidden="1">
      <c r="A54" t="s">
        <v>120</v>
      </c>
      <c r="B54"/>
      <c r="C54"/>
      <c r="D54"/>
      <c r="S54"/>
      <c r="T54"/>
      <c r="U54"/>
      <c r="V54"/>
      <c r="W54"/>
      <c r="X54"/>
      <c r="Y54"/>
      <c r="Z54"/>
      <c r="AA54"/>
      <c r="AB54"/>
      <c r="AC54"/>
      <c r="AD54"/>
      <c r="AE54"/>
      <c r="AF54"/>
    </row>
    <row r="55" spans="1:32" ht="12.75" hidden="1">
      <c r="A55" t="s">
        <v>121</v>
      </c>
      <c r="B55"/>
      <c r="C55"/>
      <c r="D55"/>
      <c r="S55"/>
      <c r="T55"/>
      <c r="U55"/>
      <c r="V55"/>
      <c r="W55"/>
      <c r="X55"/>
      <c r="Y55"/>
      <c r="Z55"/>
      <c r="AA55"/>
      <c r="AB55"/>
      <c r="AC55"/>
      <c r="AD55"/>
      <c r="AE55"/>
      <c r="AF55"/>
    </row>
    <row r="56" spans="1:32" ht="12.75" hidden="1">
      <c r="B56"/>
      <c r="C56"/>
      <c r="D56"/>
      <c r="S56"/>
      <c r="T56"/>
      <c r="U56"/>
      <c r="V56"/>
      <c r="W56"/>
      <c r="X56"/>
      <c r="Y56"/>
      <c r="Z56"/>
      <c r="AA56"/>
      <c r="AB56"/>
      <c r="AC56"/>
      <c r="AD56"/>
      <c r="AE56"/>
      <c r="AF56"/>
    </row>
    <row r="57" spans="1:32" ht="12.75" hidden="1">
      <c r="A57" t="s">
        <v>122</v>
      </c>
      <c r="B57"/>
      <c r="C57"/>
      <c r="D57"/>
      <c r="S57"/>
      <c r="T57"/>
      <c r="U57"/>
      <c r="V57"/>
      <c r="W57"/>
      <c r="X57"/>
      <c r="Y57"/>
      <c r="Z57"/>
      <c r="AA57"/>
      <c r="AB57"/>
      <c r="AC57"/>
      <c r="AD57"/>
      <c r="AE57"/>
      <c r="AF57"/>
    </row>
    <row r="58" spans="1:32" ht="12.75" hidden="1">
      <c r="A58" t="s">
        <v>123</v>
      </c>
      <c r="B58"/>
      <c r="C58"/>
      <c r="D58"/>
      <c r="S58"/>
      <c r="T58"/>
      <c r="U58"/>
      <c r="V58"/>
      <c r="W58"/>
      <c r="X58"/>
      <c r="Y58"/>
      <c r="Z58"/>
      <c r="AA58"/>
      <c r="AB58"/>
      <c r="AC58"/>
      <c r="AD58"/>
      <c r="AE58"/>
      <c r="AF58"/>
    </row>
    <row r="59" spans="1:32" ht="12.75" hidden="1">
      <c r="B59"/>
      <c r="C59"/>
      <c r="D59"/>
      <c r="S59"/>
      <c r="T59"/>
      <c r="U59"/>
      <c r="V59"/>
      <c r="W59"/>
      <c r="X59"/>
      <c r="Y59"/>
      <c r="Z59"/>
      <c r="AA59"/>
      <c r="AB59"/>
      <c r="AC59"/>
      <c r="AD59"/>
      <c r="AE59"/>
      <c r="AF59"/>
    </row>
    <row r="60" spans="1:32" ht="12.75" hidden="1">
      <c r="A60" t="s">
        <v>124</v>
      </c>
      <c r="B60"/>
      <c r="C60"/>
      <c r="D60"/>
      <c r="S60"/>
      <c r="T60"/>
      <c r="U60"/>
      <c r="V60"/>
      <c r="W60"/>
      <c r="X60"/>
      <c r="Y60"/>
      <c r="Z60"/>
      <c r="AA60"/>
      <c r="AB60"/>
      <c r="AC60"/>
      <c r="AD60"/>
      <c r="AE60"/>
      <c r="AF60"/>
    </row>
    <row r="61" spans="1:32" ht="12.75" hidden="1">
      <c r="A61" t="s">
        <v>125</v>
      </c>
      <c r="B61"/>
      <c r="C61"/>
      <c r="D61"/>
      <c r="S61"/>
      <c r="T61"/>
      <c r="U61"/>
      <c r="V61"/>
      <c r="W61"/>
      <c r="X61"/>
      <c r="Y61"/>
      <c r="Z61"/>
      <c r="AA61"/>
      <c r="AB61"/>
      <c r="AC61"/>
      <c r="AD61"/>
      <c r="AE61"/>
      <c r="AF61"/>
    </row>
    <row r="62" spans="1:32" ht="12.75" hidden="1">
      <c r="A62" t="s">
        <v>126</v>
      </c>
      <c r="B62"/>
      <c r="C62"/>
      <c r="D62"/>
      <c r="S62"/>
      <c r="T62"/>
      <c r="U62"/>
      <c r="V62"/>
      <c r="W62"/>
      <c r="X62"/>
      <c r="Y62"/>
      <c r="Z62"/>
      <c r="AA62"/>
      <c r="AB62"/>
      <c r="AC62"/>
      <c r="AD62"/>
      <c r="AE62"/>
      <c r="AF62"/>
    </row>
    <row r="63" spans="1:32" ht="12.75" hidden="1">
      <c r="B63"/>
      <c r="C63"/>
      <c r="D63"/>
      <c r="S63"/>
      <c r="T63"/>
      <c r="U63"/>
      <c r="V63"/>
      <c r="W63"/>
      <c r="X63"/>
      <c r="Y63"/>
      <c r="Z63"/>
      <c r="AA63"/>
      <c r="AB63"/>
      <c r="AC63"/>
      <c r="AD63"/>
      <c r="AE63"/>
      <c r="AF63"/>
    </row>
    <row r="64" spans="1:32" ht="12.75" hidden="1">
      <c r="A64" t="s">
        <v>127</v>
      </c>
      <c r="B64"/>
      <c r="C64"/>
      <c r="D64"/>
      <c r="S64"/>
      <c r="T64"/>
      <c r="U64"/>
      <c r="V64"/>
      <c r="W64"/>
      <c r="X64"/>
      <c r="Y64"/>
      <c r="Z64"/>
      <c r="AA64"/>
      <c r="AB64"/>
      <c r="AC64"/>
      <c r="AD64"/>
      <c r="AE64"/>
      <c r="AF64"/>
    </row>
    <row r="65" spans="1:32" ht="12.75" hidden="1">
      <c r="B65"/>
      <c r="C65"/>
      <c r="D65"/>
      <c r="S65"/>
      <c r="T65"/>
      <c r="U65"/>
      <c r="V65"/>
      <c r="W65"/>
      <c r="X65"/>
      <c r="Y65"/>
      <c r="Z65"/>
      <c r="AA65"/>
      <c r="AB65"/>
      <c r="AC65"/>
      <c r="AD65"/>
      <c r="AE65"/>
      <c r="AF65"/>
    </row>
    <row r="66" spans="1:32" ht="12.75" hidden="1">
      <c r="A66" t="s">
        <v>128</v>
      </c>
      <c r="B66"/>
      <c r="C66"/>
      <c r="D66"/>
      <c r="S66"/>
      <c r="T66"/>
      <c r="U66"/>
      <c r="V66"/>
      <c r="W66"/>
      <c r="X66"/>
      <c r="Y66"/>
      <c r="Z66"/>
      <c r="AA66"/>
      <c r="AB66"/>
      <c r="AC66"/>
      <c r="AD66"/>
      <c r="AE66"/>
      <c r="AF66"/>
    </row>
    <row r="67" spans="1:32" ht="12.75" hidden="1">
      <c r="B67"/>
      <c r="C67"/>
      <c r="D67"/>
      <c r="S67"/>
      <c r="T67"/>
      <c r="U67"/>
      <c r="V67"/>
      <c r="W67"/>
      <c r="X67"/>
      <c r="Y67"/>
      <c r="Z67"/>
      <c r="AA67"/>
      <c r="AB67"/>
      <c r="AC67"/>
      <c r="AD67"/>
      <c r="AE67"/>
      <c r="AF67"/>
    </row>
    <row r="68" spans="1:32" ht="12.75" hidden="1">
      <c r="A68" t="s">
        <v>129</v>
      </c>
      <c r="B68"/>
      <c r="C68"/>
      <c r="D68"/>
      <c r="S68"/>
      <c r="T68"/>
      <c r="U68"/>
      <c r="V68"/>
      <c r="W68"/>
      <c r="X68"/>
      <c r="Y68"/>
      <c r="Z68"/>
      <c r="AA68"/>
      <c r="AB68"/>
      <c r="AC68"/>
      <c r="AD68"/>
      <c r="AE68"/>
      <c r="AF68"/>
    </row>
    <row r="69" spans="1:32" ht="12.75" hidden="1">
      <c r="B69"/>
      <c r="C69"/>
      <c r="D69"/>
      <c r="S69"/>
      <c r="T69"/>
      <c r="U69"/>
      <c r="V69"/>
      <c r="W69"/>
      <c r="X69"/>
      <c r="Y69"/>
      <c r="Z69"/>
      <c r="AA69"/>
      <c r="AB69"/>
      <c r="AC69"/>
      <c r="AD69"/>
      <c r="AE69"/>
      <c r="AF69"/>
    </row>
    <row r="70" spans="1:32" ht="12.75" hidden="1">
      <c r="A70" t="s">
        <v>130</v>
      </c>
      <c r="B70"/>
      <c r="C70"/>
      <c r="D70"/>
      <c r="S70"/>
      <c r="T70"/>
      <c r="U70"/>
      <c r="V70"/>
      <c r="W70"/>
      <c r="X70"/>
      <c r="Y70"/>
      <c r="Z70"/>
      <c r="AA70"/>
      <c r="AB70"/>
      <c r="AC70"/>
      <c r="AD70"/>
      <c r="AE70"/>
      <c r="AF70"/>
    </row>
    <row r="71" spans="1:32" ht="12.75" hidden="1">
      <c r="B71"/>
      <c r="C71"/>
      <c r="D71"/>
      <c r="S71"/>
      <c r="T71"/>
      <c r="U71"/>
      <c r="V71"/>
      <c r="W71"/>
      <c r="X71"/>
      <c r="Y71"/>
      <c r="Z71"/>
      <c r="AA71"/>
      <c r="AB71"/>
      <c r="AC71"/>
      <c r="AD71"/>
      <c r="AE71"/>
      <c r="AF71"/>
    </row>
    <row r="72" spans="1:32" ht="12.75" hidden="1">
      <c r="A72" t="s">
        <v>131</v>
      </c>
      <c r="B72"/>
      <c r="C72"/>
      <c r="D72"/>
      <c r="S72"/>
      <c r="T72"/>
      <c r="U72"/>
      <c r="V72"/>
      <c r="W72"/>
      <c r="X72"/>
      <c r="Y72"/>
      <c r="Z72"/>
      <c r="AA72"/>
      <c r="AB72"/>
      <c r="AC72"/>
      <c r="AD72"/>
      <c r="AE72"/>
      <c r="AF72"/>
    </row>
    <row r="73" spans="1:32" ht="12.75" hidden="1">
      <c r="B73"/>
      <c r="C73"/>
      <c r="D73"/>
      <c r="S73"/>
      <c r="T73"/>
      <c r="U73"/>
      <c r="V73"/>
      <c r="W73"/>
      <c r="X73"/>
      <c r="Y73"/>
      <c r="Z73"/>
      <c r="AA73"/>
      <c r="AB73"/>
      <c r="AC73"/>
      <c r="AD73"/>
      <c r="AE73"/>
      <c r="AF73"/>
    </row>
    <row r="74" spans="1:32" ht="12.75" hidden="1">
      <c r="A74" t="s">
        <v>132</v>
      </c>
      <c r="B74"/>
      <c r="C74"/>
      <c r="D74"/>
      <c r="S74"/>
      <c r="T74"/>
      <c r="U74"/>
      <c r="V74"/>
      <c r="W74"/>
      <c r="X74"/>
      <c r="Y74"/>
      <c r="Z74"/>
      <c r="AA74"/>
      <c r="AB74"/>
      <c r="AC74"/>
      <c r="AD74"/>
      <c r="AE74"/>
      <c r="AF74"/>
    </row>
    <row r="75" spans="1:32" ht="12.75" hidden="1">
      <c r="A75" t="s">
        <v>133</v>
      </c>
      <c r="B75"/>
      <c r="C75"/>
      <c r="D75"/>
      <c r="S75"/>
      <c r="T75"/>
      <c r="U75"/>
      <c r="V75"/>
      <c r="W75"/>
      <c r="X75"/>
      <c r="Y75"/>
      <c r="Z75"/>
      <c r="AA75"/>
      <c r="AB75"/>
      <c r="AC75"/>
      <c r="AD75"/>
      <c r="AE75"/>
      <c r="AF75"/>
    </row>
    <row r="76" spans="1:32" ht="12.75" hidden="1">
      <c r="B76"/>
      <c r="C76"/>
      <c r="D76"/>
      <c r="S76"/>
      <c r="T76"/>
      <c r="U76"/>
      <c r="V76"/>
      <c r="W76"/>
      <c r="X76"/>
      <c r="Y76"/>
      <c r="Z76"/>
      <c r="AA76"/>
      <c r="AB76"/>
      <c r="AC76"/>
      <c r="AD76"/>
      <c r="AE76"/>
      <c r="AF76"/>
    </row>
    <row r="77" spans="1:32" ht="12.75" hidden="1">
      <c r="A77" s="4" t="s">
        <v>134</v>
      </c>
      <c r="B77"/>
      <c r="C77"/>
      <c r="D77"/>
      <c r="S77"/>
      <c r="T77"/>
      <c r="U77"/>
      <c r="V77"/>
      <c r="W77"/>
      <c r="X77"/>
      <c r="Y77"/>
      <c r="Z77"/>
      <c r="AA77"/>
      <c r="AB77"/>
      <c r="AC77"/>
      <c r="AD77"/>
      <c r="AE77"/>
      <c r="AF77"/>
    </row>
    <row r="78" spans="1:32" ht="12.75" hidden="1">
      <c r="A78" t="s">
        <v>135</v>
      </c>
      <c r="B78"/>
      <c r="C78"/>
      <c r="D78"/>
      <c r="S78"/>
      <c r="T78"/>
      <c r="U78"/>
      <c r="V78"/>
      <c r="W78"/>
      <c r="X78"/>
      <c r="Y78"/>
      <c r="Z78"/>
      <c r="AA78"/>
      <c r="AB78"/>
      <c r="AC78"/>
      <c r="AD78"/>
      <c r="AE78"/>
      <c r="AF78"/>
    </row>
    <row r="79" spans="1:32" ht="12.75" hidden="1">
      <c r="A79" t="s">
        <v>136</v>
      </c>
      <c r="B79"/>
      <c r="C79"/>
      <c r="D79"/>
      <c r="S79"/>
      <c r="T79"/>
      <c r="U79"/>
      <c r="V79"/>
      <c r="W79"/>
      <c r="X79"/>
      <c r="Y79"/>
      <c r="Z79"/>
      <c r="AA79"/>
      <c r="AB79"/>
      <c r="AC79"/>
      <c r="AD79"/>
      <c r="AE79"/>
      <c r="AF79"/>
    </row>
    <row r="80" spans="1:32" ht="12.75" hidden="1">
      <c r="B80"/>
      <c r="C80"/>
      <c r="D80"/>
      <c r="S80"/>
      <c r="T80"/>
      <c r="U80"/>
      <c r="V80"/>
      <c r="W80"/>
      <c r="X80"/>
      <c r="Y80"/>
      <c r="Z80"/>
      <c r="AA80"/>
      <c r="AB80"/>
      <c r="AC80"/>
      <c r="AD80"/>
      <c r="AE80"/>
      <c r="AF80"/>
    </row>
    <row r="81" spans="1:32" ht="12.75" hidden="1">
      <c r="A81" t="s">
        <v>137</v>
      </c>
      <c r="B81"/>
      <c r="C81"/>
      <c r="D81"/>
      <c r="S81"/>
      <c r="T81"/>
      <c r="U81"/>
      <c r="V81"/>
      <c r="W81"/>
      <c r="X81"/>
      <c r="Y81"/>
      <c r="Z81"/>
      <c r="AA81"/>
      <c r="AB81"/>
      <c r="AC81"/>
      <c r="AD81"/>
      <c r="AE81"/>
      <c r="AF81"/>
    </row>
    <row r="82" spans="1:32" ht="12.75" hidden="1">
      <c r="A82" t="s">
        <v>138</v>
      </c>
      <c r="B82"/>
      <c r="C82"/>
      <c r="D82"/>
      <c r="S82"/>
      <c r="T82"/>
      <c r="U82"/>
      <c r="V82"/>
      <c r="W82"/>
      <c r="X82"/>
      <c r="Y82"/>
      <c r="Z82"/>
      <c r="AA82"/>
      <c r="AB82"/>
      <c r="AC82"/>
      <c r="AD82"/>
      <c r="AE82"/>
      <c r="AF82"/>
    </row>
    <row r="83" spans="1:32" ht="12.75" hidden="1">
      <c r="B83"/>
      <c r="C83"/>
      <c r="D83"/>
      <c r="S83"/>
      <c r="T83"/>
      <c r="U83"/>
      <c r="V83"/>
      <c r="W83"/>
      <c r="X83"/>
      <c r="Y83"/>
      <c r="Z83"/>
      <c r="AA83"/>
      <c r="AB83"/>
      <c r="AC83"/>
      <c r="AD83"/>
      <c r="AE83"/>
      <c r="AF83"/>
    </row>
    <row r="84" spans="1:32" ht="12.75" hidden="1">
      <c r="A84" t="s">
        <v>139</v>
      </c>
      <c r="B84"/>
      <c r="C84"/>
      <c r="D84"/>
      <c r="S84"/>
      <c r="T84"/>
      <c r="U84"/>
      <c r="V84"/>
      <c r="W84"/>
      <c r="X84"/>
      <c r="Y84"/>
      <c r="Z84"/>
      <c r="AA84"/>
      <c r="AB84"/>
      <c r="AC84"/>
      <c r="AD84"/>
      <c r="AE84"/>
      <c r="AF84"/>
    </row>
    <row r="85" spans="1:32" ht="12.75" hidden="1">
      <c r="B85"/>
      <c r="C85"/>
      <c r="D85"/>
      <c r="S85"/>
      <c r="T85"/>
      <c r="U85"/>
      <c r="V85"/>
      <c r="W85"/>
      <c r="X85"/>
      <c r="Y85"/>
      <c r="Z85"/>
      <c r="AA85"/>
      <c r="AB85"/>
      <c r="AC85"/>
      <c r="AD85"/>
      <c r="AE85"/>
      <c r="AF85"/>
    </row>
    <row r="86" spans="1:32" ht="12.75" hidden="1">
      <c r="A86" s="4" t="s">
        <v>140</v>
      </c>
      <c r="B86"/>
      <c r="C86"/>
      <c r="D86"/>
      <c r="S86"/>
      <c r="T86"/>
      <c r="U86"/>
      <c r="V86"/>
      <c r="W86"/>
      <c r="X86"/>
      <c r="Y86"/>
      <c r="Z86"/>
      <c r="AA86"/>
      <c r="AB86"/>
      <c r="AC86"/>
      <c r="AD86"/>
      <c r="AE86"/>
      <c r="AF86"/>
    </row>
    <row r="87" spans="1:32" ht="12.75" hidden="1">
      <c r="A87" t="s">
        <v>141</v>
      </c>
      <c r="B87"/>
      <c r="C87"/>
      <c r="D87"/>
      <c r="S87"/>
      <c r="T87"/>
      <c r="U87"/>
      <c r="V87"/>
      <c r="W87"/>
      <c r="X87"/>
      <c r="Y87"/>
      <c r="Z87"/>
      <c r="AA87"/>
      <c r="AB87"/>
      <c r="AC87"/>
      <c r="AD87"/>
      <c r="AE87"/>
      <c r="AF87"/>
    </row>
    <row r="88" spans="1:32" ht="12.75" hidden="1">
      <c r="B88"/>
      <c r="C88"/>
      <c r="D88"/>
      <c r="S88"/>
      <c r="T88"/>
      <c r="U88"/>
      <c r="V88"/>
      <c r="W88"/>
      <c r="X88"/>
      <c r="Y88"/>
      <c r="Z88"/>
      <c r="AA88"/>
      <c r="AB88"/>
      <c r="AC88"/>
      <c r="AD88"/>
      <c r="AE88"/>
      <c r="AF88"/>
    </row>
    <row r="89" spans="1:32" ht="12.75" hidden="1">
      <c r="A89" t="s">
        <v>142</v>
      </c>
      <c r="B89"/>
      <c r="C89"/>
      <c r="D89"/>
      <c r="S89"/>
      <c r="T89"/>
      <c r="U89"/>
      <c r="V89"/>
      <c r="W89"/>
      <c r="X89"/>
      <c r="Y89"/>
      <c r="Z89"/>
      <c r="AA89"/>
      <c r="AB89"/>
      <c r="AC89"/>
      <c r="AD89"/>
      <c r="AE89"/>
      <c r="AF89"/>
    </row>
    <row r="90" spans="1:32" ht="12.75" hidden="1">
      <c r="B90"/>
      <c r="C90"/>
      <c r="D90"/>
      <c r="S90"/>
      <c r="T90"/>
      <c r="U90"/>
      <c r="V90"/>
      <c r="W90"/>
      <c r="X90"/>
      <c r="Y90"/>
      <c r="Z90"/>
      <c r="AA90"/>
      <c r="AB90"/>
      <c r="AC90"/>
      <c r="AD90"/>
      <c r="AE90"/>
      <c r="AF90"/>
    </row>
    <row r="91" spans="1:32" ht="12.75" hidden="1">
      <c r="B91"/>
      <c r="C91"/>
      <c r="D91"/>
      <c r="S91"/>
      <c r="T91"/>
      <c r="U91"/>
      <c r="V91"/>
      <c r="W91"/>
      <c r="X91"/>
      <c r="Y91"/>
      <c r="Z91"/>
      <c r="AA91"/>
      <c r="AB91"/>
      <c r="AC91"/>
      <c r="AD91"/>
      <c r="AE91"/>
      <c r="AF91"/>
    </row>
    <row r="92" spans="1:32" ht="12.75" hidden="1">
      <c r="A92" s="4" t="s">
        <v>143</v>
      </c>
      <c r="B92"/>
      <c r="C92"/>
      <c r="D92"/>
      <c r="S92"/>
      <c r="T92"/>
      <c r="U92"/>
      <c r="V92"/>
      <c r="W92"/>
      <c r="X92"/>
      <c r="Y92"/>
      <c r="Z92"/>
      <c r="AA92"/>
      <c r="AB92"/>
      <c r="AC92"/>
      <c r="AD92"/>
      <c r="AE92"/>
      <c r="AF92"/>
    </row>
    <row r="93" spans="1:32" ht="12.75" hidden="1">
      <c r="A93" t="s">
        <v>144</v>
      </c>
      <c r="B93"/>
      <c r="C93"/>
      <c r="D93"/>
      <c r="S93"/>
      <c r="T93"/>
      <c r="U93"/>
      <c r="V93"/>
      <c r="W93"/>
      <c r="X93"/>
      <c r="Y93"/>
      <c r="Z93"/>
      <c r="AA93"/>
      <c r="AB93"/>
      <c r="AC93"/>
      <c r="AD93"/>
      <c r="AE93"/>
      <c r="AF93"/>
    </row>
    <row r="94" spans="1:32" ht="12.75" hidden="1">
      <c r="A94" t="s">
        <v>145</v>
      </c>
      <c r="B94"/>
      <c r="C94"/>
      <c r="D94"/>
      <c r="S94"/>
      <c r="T94"/>
      <c r="U94"/>
      <c r="V94"/>
      <c r="W94"/>
      <c r="X94"/>
      <c r="Y94"/>
      <c r="Z94"/>
      <c r="AA94"/>
      <c r="AB94"/>
      <c r="AC94"/>
      <c r="AD94"/>
      <c r="AE94"/>
      <c r="AF94"/>
    </row>
    <row r="95" spans="1:32" ht="12.75" hidden="1">
      <c r="B95"/>
      <c r="C95"/>
      <c r="D95"/>
      <c r="S95"/>
      <c r="T95"/>
      <c r="U95"/>
      <c r="V95"/>
      <c r="W95"/>
      <c r="X95"/>
      <c r="Y95"/>
      <c r="Z95"/>
      <c r="AA95"/>
      <c r="AB95"/>
      <c r="AC95"/>
      <c r="AD95"/>
      <c r="AE95"/>
      <c r="AF95"/>
    </row>
    <row r="96" spans="1:32" ht="12.75" hidden="1">
      <c r="A96" s="4" t="s">
        <v>124</v>
      </c>
      <c r="B96"/>
      <c r="C96"/>
      <c r="D96"/>
      <c r="S96"/>
      <c r="T96"/>
      <c r="U96"/>
      <c r="V96"/>
      <c r="W96"/>
      <c r="X96"/>
      <c r="Y96"/>
      <c r="Z96"/>
      <c r="AA96"/>
      <c r="AB96"/>
      <c r="AC96"/>
      <c r="AD96"/>
      <c r="AE96"/>
      <c r="AF96"/>
    </row>
    <row r="97" spans="1:32" ht="12.75" hidden="1">
      <c r="A97" t="s">
        <v>125</v>
      </c>
      <c r="B97"/>
      <c r="C97"/>
      <c r="D97"/>
      <c r="S97"/>
      <c r="T97"/>
      <c r="U97"/>
      <c r="V97"/>
      <c r="W97"/>
      <c r="X97"/>
      <c r="Y97"/>
      <c r="Z97"/>
      <c r="AA97"/>
      <c r="AB97"/>
      <c r="AC97"/>
      <c r="AD97"/>
      <c r="AE97"/>
      <c r="AF97"/>
    </row>
    <row r="98" spans="1:32" ht="12.75" hidden="1">
      <c r="A98" t="s">
        <v>126</v>
      </c>
      <c r="B98"/>
      <c r="C98"/>
      <c r="D98"/>
      <c r="S98"/>
      <c r="T98"/>
      <c r="U98"/>
      <c r="V98"/>
      <c r="W98"/>
      <c r="X98"/>
      <c r="Y98"/>
      <c r="Z98"/>
      <c r="AA98"/>
      <c r="AB98"/>
      <c r="AC98"/>
      <c r="AD98"/>
      <c r="AE98"/>
      <c r="AF98"/>
    </row>
    <row r="99" spans="1:32" ht="12.75" hidden="1">
      <c r="B99"/>
      <c r="C99"/>
      <c r="D99"/>
      <c r="S99"/>
      <c r="T99"/>
      <c r="U99"/>
      <c r="V99"/>
      <c r="W99"/>
      <c r="X99"/>
      <c r="Y99"/>
      <c r="Z99"/>
      <c r="AA99"/>
      <c r="AB99"/>
      <c r="AC99"/>
      <c r="AD99"/>
      <c r="AE99"/>
      <c r="AF99"/>
    </row>
    <row r="100" spans="1:32" ht="12.75" hidden="1">
      <c r="A100" t="s">
        <v>146</v>
      </c>
      <c r="B100"/>
      <c r="C100"/>
      <c r="D100"/>
      <c r="S100"/>
      <c r="T100"/>
      <c r="U100"/>
      <c r="V100"/>
      <c r="W100"/>
      <c r="X100"/>
      <c r="Y100"/>
      <c r="Z100"/>
      <c r="AA100"/>
      <c r="AB100"/>
      <c r="AC100"/>
      <c r="AD100"/>
      <c r="AE100"/>
      <c r="AF100"/>
    </row>
    <row r="101" spans="1:32" ht="12.75" hidden="1">
      <c r="A101" t="s">
        <v>147</v>
      </c>
      <c r="B101"/>
      <c r="C101"/>
      <c r="D101"/>
      <c r="S101"/>
      <c r="T101"/>
      <c r="U101"/>
      <c r="V101"/>
      <c r="W101"/>
      <c r="X101"/>
      <c r="Y101"/>
      <c r="Z101"/>
      <c r="AA101"/>
      <c r="AB101"/>
      <c r="AC101"/>
      <c r="AD101"/>
      <c r="AE101"/>
      <c r="AF101"/>
    </row>
    <row r="102" spans="1:32" ht="12.75" hidden="1">
      <c r="B102"/>
      <c r="C102"/>
      <c r="D102"/>
      <c r="S102"/>
      <c r="T102"/>
      <c r="U102"/>
      <c r="V102"/>
      <c r="W102"/>
      <c r="X102"/>
      <c r="Y102"/>
      <c r="Z102"/>
      <c r="AA102"/>
      <c r="AB102"/>
      <c r="AC102"/>
      <c r="AD102"/>
      <c r="AE102"/>
      <c r="AF102"/>
    </row>
    <row r="103" spans="1:32" ht="12.75" hidden="1">
      <c r="A103" t="s">
        <v>148</v>
      </c>
      <c r="B103"/>
      <c r="C103"/>
      <c r="D103"/>
      <c r="S103"/>
      <c r="T103"/>
      <c r="U103"/>
      <c r="V103"/>
      <c r="W103"/>
      <c r="X103"/>
      <c r="Y103"/>
      <c r="Z103"/>
      <c r="AA103"/>
      <c r="AB103"/>
      <c r="AC103"/>
      <c r="AD103"/>
      <c r="AE103"/>
      <c r="AF103"/>
    </row>
    <row r="104" spans="1:32" ht="12.75" hidden="1">
      <c r="B104"/>
      <c r="C104"/>
      <c r="D104"/>
      <c r="S104"/>
      <c r="T104"/>
      <c r="U104"/>
      <c r="V104"/>
      <c r="W104"/>
      <c r="X104"/>
      <c r="Y104"/>
      <c r="Z104"/>
      <c r="AA104"/>
      <c r="AB104"/>
      <c r="AC104"/>
      <c r="AD104"/>
      <c r="AE104"/>
      <c r="AF104"/>
    </row>
    <row r="105" spans="1:32" ht="12.75" hidden="1">
      <c r="B105"/>
      <c r="C105"/>
      <c r="D105"/>
      <c r="S105"/>
      <c r="T105"/>
      <c r="U105"/>
      <c r="V105"/>
      <c r="W105"/>
      <c r="X105"/>
      <c r="Y105"/>
      <c r="Z105"/>
      <c r="AA105"/>
      <c r="AB105"/>
      <c r="AC105"/>
      <c r="AD105"/>
      <c r="AE105"/>
      <c r="AF105"/>
    </row>
    <row r="106" spans="1:32" ht="12.75" hidden="1">
      <c r="A106" s="4" t="s">
        <v>149</v>
      </c>
      <c r="B106"/>
      <c r="C106"/>
      <c r="D106"/>
      <c r="S106"/>
      <c r="T106"/>
      <c r="U106"/>
      <c r="V106"/>
      <c r="W106"/>
      <c r="X106"/>
      <c r="Y106"/>
      <c r="Z106"/>
      <c r="AA106"/>
      <c r="AB106"/>
      <c r="AC106"/>
      <c r="AD106"/>
      <c r="AE106"/>
      <c r="AF106"/>
    </row>
    <row r="107" spans="1:32" ht="12.75" hidden="1">
      <c r="B107"/>
      <c r="C107"/>
      <c r="D107"/>
      <c r="S107"/>
      <c r="T107"/>
      <c r="U107"/>
      <c r="V107"/>
      <c r="W107"/>
      <c r="X107"/>
      <c r="Y107"/>
      <c r="Z107"/>
      <c r="AA107"/>
      <c r="AB107"/>
      <c r="AC107"/>
      <c r="AD107"/>
      <c r="AE107"/>
      <c r="AF107"/>
    </row>
    <row r="108" spans="1:32" ht="12.75" hidden="1">
      <c r="B108"/>
      <c r="C108"/>
      <c r="D108"/>
      <c r="S108"/>
      <c r="T108"/>
      <c r="U108"/>
      <c r="V108"/>
      <c r="W108"/>
      <c r="X108"/>
      <c r="Y108"/>
      <c r="Z108"/>
      <c r="AA108"/>
      <c r="AB108"/>
      <c r="AC108"/>
      <c r="AD108"/>
      <c r="AE108"/>
      <c r="AF108"/>
    </row>
    <row r="109" spans="1:32" ht="12.75" hidden="1">
      <c r="A109" t="s">
        <v>150</v>
      </c>
      <c r="B109"/>
      <c r="C109"/>
      <c r="D109"/>
      <c r="S109"/>
      <c r="T109"/>
      <c r="U109"/>
      <c r="V109"/>
      <c r="W109"/>
      <c r="X109"/>
      <c r="Y109"/>
      <c r="Z109"/>
      <c r="AA109"/>
      <c r="AB109"/>
      <c r="AC109"/>
      <c r="AD109"/>
      <c r="AE109"/>
      <c r="AF109"/>
    </row>
    <row r="112" spans="1:32">
      <c r="C112" s="99"/>
    </row>
    <row r="113" spans="2:32" ht="14.25">
      <c r="B113"/>
      <c r="C113" s="100"/>
      <c r="D113"/>
      <c r="K113" s="98"/>
      <c r="S113"/>
      <c r="T113"/>
      <c r="U113"/>
      <c r="V113"/>
      <c r="W113"/>
      <c r="X113"/>
      <c r="Y113"/>
      <c r="Z113"/>
      <c r="AA113"/>
      <c r="AB113"/>
      <c r="AC113"/>
      <c r="AD113"/>
      <c r="AE113"/>
      <c r="AF113"/>
    </row>
    <row r="114" spans="2:32">
      <c r="B114"/>
      <c r="C114" s="101"/>
      <c r="D114"/>
      <c r="K114" s="98"/>
      <c r="S114"/>
      <c r="T114"/>
      <c r="U114"/>
      <c r="V114"/>
      <c r="W114"/>
      <c r="X114"/>
      <c r="Y114"/>
      <c r="Z114"/>
      <c r="AA114"/>
      <c r="AB114"/>
      <c r="AC114"/>
      <c r="AD114"/>
      <c r="AE114"/>
      <c r="AF114"/>
    </row>
    <row r="115" spans="2:32">
      <c r="B115"/>
      <c r="C115" s="102"/>
      <c r="D115"/>
      <c r="S115"/>
      <c r="T115"/>
      <c r="U115"/>
      <c r="V115"/>
      <c r="W115"/>
      <c r="X115"/>
      <c r="Y115"/>
      <c r="Z115"/>
      <c r="AA115"/>
      <c r="AB115"/>
      <c r="AC115"/>
      <c r="AD115"/>
      <c r="AE115"/>
      <c r="AF115"/>
    </row>
    <row r="116" spans="2:32">
      <c r="C116" s="99"/>
    </row>
    <row r="117" spans="2:32" ht="12.75">
      <c r="B117"/>
      <c r="C117" s="99"/>
      <c r="D117"/>
      <c r="K117" s="98"/>
      <c r="S117"/>
      <c r="T117"/>
      <c r="U117"/>
      <c r="V117"/>
      <c r="W117"/>
      <c r="X117"/>
      <c r="Y117"/>
      <c r="Z117"/>
      <c r="AA117"/>
      <c r="AB117"/>
      <c r="AC117"/>
      <c r="AD117"/>
      <c r="AE117"/>
      <c r="AF117"/>
    </row>
    <row r="118" spans="2:32" ht="12.75">
      <c r="B118"/>
      <c r="D118"/>
      <c r="S118"/>
      <c r="T118"/>
      <c r="U118"/>
      <c r="V118"/>
      <c r="W118"/>
      <c r="X118"/>
      <c r="Y118"/>
      <c r="Z118"/>
      <c r="AA118"/>
      <c r="AB118"/>
      <c r="AC118"/>
      <c r="AD118"/>
      <c r="AE118"/>
      <c r="AF118"/>
    </row>
    <row r="120" spans="2:32" ht="12.75">
      <c r="B120"/>
      <c r="D120"/>
      <c r="S120"/>
      <c r="T120"/>
      <c r="U120"/>
      <c r="V120"/>
      <c r="W120"/>
      <c r="X120"/>
      <c r="Y120"/>
      <c r="Z120"/>
      <c r="AA120"/>
      <c r="AB120"/>
      <c r="AC120"/>
      <c r="AD120"/>
      <c r="AE120"/>
      <c r="AF120"/>
    </row>
    <row r="122" spans="2:32" ht="12.75">
      <c r="B122"/>
      <c r="D122"/>
      <c r="S122"/>
      <c r="T122"/>
      <c r="U122"/>
      <c r="V122"/>
      <c r="W122"/>
      <c r="X122"/>
      <c r="Y122"/>
      <c r="Z122"/>
      <c r="AA122"/>
      <c r="AB122"/>
      <c r="AC122"/>
      <c r="AD122"/>
      <c r="AE122"/>
      <c r="AF122"/>
    </row>
    <row r="127" spans="2:32" ht="12.75">
      <c r="B127"/>
      <c r="D127"/>
      <c r="S127"/>
      <c r="T127"/>
      <c r="U127"/>
      <c r="V127"/>
      <c r="W127"/>
      <c r="X127"/>
      <c r="Y127"/>
      <c r="Z127"/>
      <c r="AA127"/>
      <c r="AB127"/>
      <c r="AC127"/>
      <c r="AD127"/>
      <c r="AE127"/>
      <c r="AF127"/>
    </row>
    <row r="129" spans="2:32" ht="12.75">
      <c r="B129"/>
      <c r="D129"/>
      <c r="S129"/>
      <c r="T129"/>
      <c r="U129"/>
      <c r="V129"/>
      <c r="W129"/>
      <c r="X129"/>
      <c r="Y129"/>
      <c r="Z129"/>
      <c r="AA129"/>
      <c r="AB129"/>
      <c r="AC129"/>
      <c r="AD129"/>
      <c r="AE129"/>
      <c r="AF129"/>
    </row>
  </sheetData>
  <sheetProtection selectLockedCells="1" selectUnlockedCells="1"/>
  <mergeCells count="15">
    <mergeCell ref="G9:H9"/>
    <mergeCell ref="I9:K9"/>
    <mergeCell ref="M9:O9"/>
    <mergeCell ref="A9:A10"/>
    <mergeCell ref="B9:B10"/>
    <mergeCell ref="C9:C10"/>
    <mergeCell ref="D9:D10"/>
    <mergeCell ref="E9:E10"/>
    <mergeCell ref="F9:F10"/>
    <mergeCell ref="A1:K1"/>
    <mergeCell ref="A2:K2"/>
    <mergeCell ref="A3:K3"/>
    <mergeCell ref="A5:K5"/>
    <mergeCell ref="A6:K6"/>
    <mergeCell ref="A7:K7"/>
  </mergeCells>
  <printOptions horizontalCentered="1"/>
  <pageMargins left="0.39374999999999999" right="0.39374999999999999" top="0.98402777777777783" bottom="0.98402777777777783" header="0.51181102362204722" footer="0.51181102362204722"/>
  <pageSetup paperSize="9" scale="41" firstPageNumber="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view="pageBreakPreview" topLeftCell="H46" zoomScale="70" zoomScaleSheetLayoutView="70" workbookViewId="0">
      <selection activeCell="N46" sqref="N46"/>
    </sheetView>
  </sheetViews>
  <sheetFormatPr defaultColWidth="9" defaultRowHeight="15"/>
  <cols>
    <col min="1" max="1" width="9" style="7"/>
    <col min="2" max="2" width="27.28515625" style="7" customWidth="1"/>
    <col min="3" max="3" width="90.140625" style="7" customWidth="1"/>
    <col min="4" max="4" width="9" style="8"/>
    <col min="5" max="5" width="9.28515625" style="7" customWidth="1"/>
    <col min="6" max="7" width="10.5703125" style="7" customWidth="1"/>
    <col min="8" max="8" width="12.140625" style="7" customWidth="1"/>
    <col min="9" max="9" width="14" style="7" customWidth="1"/>
    <col min="10" max="10" width="14.28515625" style="7" hidden="1" customWidth="1"/>
    <col min="11" max="11" width="3" style="7" hidden="1" customWidth="1"/>
    <col min="12" max="12" width="10.140625" style="7" customWidth="1"/>
    <col min="13" max="13" width="9.140625" style="7" customWidth="1"/>
    <col min="14" max="14" width="9" style="7"/>
    <col min="15" max="16" width="9.140625" style="7" customWidth="1"/>
    <col min="17" max="16384" width="9" style="7"/>
  </cols>
  <sheetData>
    <row r="1" spans="1:17" ht="22.5">
      <c r="A1" s="302" t="s">
        <v>13</v>
      </c>
      <c r="B1" s="302"/>
      <c r="C1" s="302"/>
      <c r="D1" s="302"/>
      <c r="E1" s="302"/>
      <c r="F1" s="302"/>
      <c r="G1" s="302"/>
      <c r="H1" s="302"/>
      <c r="I1" s="302"/>
      <c r="J1" s="302"/>
      <c r="K1" s="302"/>
      <c r="L1" s="10"/>
      <c r="M1" s="10"/>
      <c r="N1" s="10"/>
      <c r="O1" s="11"/>
      <c r="P1" s="12"/>
      <c r="Q1" s="12"/>
    </row>
    <row r="2" spans="1:17" ht="23.25">
      <c r="A2" s="330" t="s">
        <v>14</v>
      </c>
      <c r="B2" s="330"/>
      <c r="C2" s="330"/>
      <c r="D2" s="330"/>
      <c r="E2" s="330"/>
      <c r="F2" s="330"/>
      <c r="G2" s="330"/>
      <c r="H2" s="330"/>
      <c r="I2" s="330"/>
      <c r="J2" s="330"/>
      <c r="K2" s="330"/>
      <c r="L2" s="13"/>
      <c r="M2" s="13"/>
      <c r="N2" s="13"/>
      <c r="O2" s="11"/>
      <c r="P2" s="12"/>
      <c r="Q2" s="12"/>
    </row>
    <row r="3" spans="1:17" ht="23.25">
      <c r="A3" s="331" t="s">
        <v>1</v>
      </c>
      <c r="B3" s="331"/>
      <c r="C3" s="331"/>
      <c r="D3" s="331"/>
      <c r="E3" s="331"/>
      <c r="F3" s="331"/>
      <c r="G3" s="331"/>
      <c r="H3" s="331"/>
      <c r="I3" s="331"/>
      <c r="J3" s="331"/>
      <c r="K3" s="331"/>
      <c r="L3" s="13"/>
      <c r="M3" s="13"/>
      <c r="N3" s="13"/>
      <c r="O3" s="11"/>
      <c r="P3" s="12"/>
      <c r="Q3" s="12"/>
    </row>
    <row r="4" spans="1:17" ht="51.75" customHeight="1">
      <c r="A4" s="332" t="s">
        <v>151</v>
      </c>
      <c r="B4" s="332"/>
      <c r="C4" s="332"/>
      <c r="D4" s="332"/>
      <c r="E4" s="332"/>
      <c r="F4" s="332"/>
      <c r="G4" s="332"/>
      <c r="H4" s="332"/>
      <c r="I4" s="332"/>
      <c r="J4" s="332"/>
      <c r="K4" s="332"/>
      <c r="L4" s="14"/>
      <c r="M4" s="305"/>
      <c r="N4" s="305"/>
      <c r="O4" s="305"/>
      <c r="P4" s="12"/>
      <c r="Q4" s="12"/>
    </row>
    <row r="5" spans="1:17" ht="23.25" customHeight="1">
      <c r="A5" s="332" t="s">
        <v>152</v>
      </c>
      <c r="B5" s="332"/>
      <c r="C5" s="332"/>
      <c r="D5" s="332"/>
      <c r="E5" s="332"/>
      <c r="F5" s="332"/>
      <c r="G5" s="332"/>
      <c r="H5" s="332"/>
      <c r="I5" s="332"/>
      <c r="J5" s="103"/>
      <c r="K5" s="103"/>
      <c r="L5" s="14"/>
      <c r="M5" s="15"/>
      <c r="N5" s="15"/>
      <c r="O5" s="15"/>
      <c r="P5" s="12"/>
      <c r="Q5" s="12"/>
    </row>
    <row r="6" spans="1:17" ht="23.25" customHeight="1">
      <c r="A6" s="307" t="s">
        <v>153</v>
      </c>
      <c r="B6" s="307"/>
      <c r="C6" s="307"/>
      <c r="D6" s="307"/>
      <c r="E6" s="307"/>
      <c r="F6" s="307"/>
      <c r="G6" s="307"/>
      <c r="H6" s="307"/>
      <c r="I6" s="307"/>
      <c r="J6" s="307"/>
      <c r="K6" s="307"/>
      <c r="L6" s="11"/>
      <c r="M6" s="13"/>
      <c r="N6" s="11"/>
      <c r="O6" s="11"/>
      <c r="P6" s="12"/>
      <c r="Q6" s="12"/>
    </row>
    <row r="7" spans="1:17">
      <c r="A7" s="333" t="s">
        <v>17</v>
      </c>
      <c r="B7" s="334" t="s">
        <v>18</v>
      </c>
      <c r="C7" s="333" t="s">
        <v>19</v>
      </c>
      <c r="D7" s="333" t="s">
        <v>20</v>
      </c>
      <c r="E7" s="333" t="s">
        <v>21</v>
      </c>
      <c r="F7" s="335" t="s">
        <v>22</v>
      </c>
      <c r="G7" s="335"/>
      <c r="H7" s="335"/>
      <c r="I7" s="335"/>
      <c r="J7" s="335"/>
      <c r="K7" s="335"/>
      <c r="L7" s="12"/>
      <c r="M7" s="311"/>
      <c r="N7" s="311"/>
      <c r="O7" s="311"/>
      <c r="P7" s="311"/>
      <c r="Q7" s="311"/>
    </row>
    <row r="8" spans="1:17">
      <c r="A8" s="333"/>
      <c r="B8" s="334"/>
      <c r="C8" s="333"/>
      <c r="D8" s="333"/>
      <c r="E8" s="333"/>
      <c r="F8" s="335"/>
      <c r="G8" s="335"/>
      <c r="H8" s="335"/>
      <c r="I8" s="335"/>
      <c r="J8" s="335"/>
      <c r="K8" s="335"/>
      <c r="L8" s="12"/>
      <c r="M8" s="16"/>
      <c r="N8" s="17"/>
      <c r="O8" s="16"/>
      <c r="P8" s="17"/>
      <c r="Q8" s="17"/>
    </row>
    <row r="9" spans="1:17" s="21" customFormat="1" ht="23.25">
      <c r="A9" s="18">
        <v>1</v>
      </c>
      <c r="B9" s="18"/>
      <c r="C9" s="19" t="s">
        <v>23</v>
      </c>
      <c r="D9" s="18"/>
      <c r="E9" s="20"/>
      <c r="F9" s="312"/>
      <c r="G9" s="312"/>
      <c r="H9" s="312"/>
      <c r="I9" s="312"/>
      <c r="J9" s="312"/>
      <c r="K9" s="312"/>
      <c r="L9" s="12"/>
      <c r="M9" s="13"/>
      <c r="N9" s="12"/>
      <c r="O9" s="12"/>
      <c r="P9" s="12"/>
      <c r="Q9" s="12"/>
    </row>
    <row r="10" spans="1:17" ht="27.75" customHeight="1">
      <c r="A10" s="22" t="s">
        <v>24</v>
      </c>
      <c r="B10" s="22" t="s">
        <v>25</v>
      </c>
      <c r="C10" s="22" t="s">
        <v>154</v>
      </c>
      <c r="D10" s="22" t="s">
        <v>27</v>
      </c>
      <c r="E10" s="104">
        <v>10</v>
      </c>
      <c r="F10" s="313" t="s">
        <v>155</v>
      </c>
      <c r="G10" s="313"/>
      <c r="H10" s="313"/>
      <c r="I10" s="313"/>
      <c r="J10" s="313"/>
      <c r="K10" s="313"/>
      <c r="L10" s="12"/>
      <c r="M10" s="13"/>
      <c r="N10" s="12"/>
      <c r="O10" s="12"/>
      <c r="P10" s="12"/>
      <c r="Q10" s="12"/>
    </row>
    <row r="11" spans="1:17" ht="25.5" customHeight="1">
      <c r="A11" s="22" t="s">
        <v>29</v>
      </c>
      <c r="B11" s="22" t="s">
        <v>156</v>
      </c>
      <c r="C11" s="22" t="s">
        <v>157</v>
      </c>
      <c r="D11" s="22" t="s">
        <v>27</v>
      </c>
      <c r="E11" s="104">
        <v>4</v>
      </c>
      <c r="F11" s="313" t="s">
        <v>158</v>
      </c>
      <c r="G11" s="313"/>
      <c r="H11" s="313"/>
      <c r="I11" s="313"/>
      <c r="J11" s="313"/>
      <c r="K11" s="313"/>
      <c r="L11" s="12"/>
      <c r="M11" s="13"/>
      <c r="N11" s="12"/>
      <c r="O11" s="12"/>
      <c r="P11" s="12"/>
      <c r="Q11" s="12"/>
    </row>
    <row r="12" spans="1:17" ht="23.25" customHeight="1">
      <c r="A12" s="22" t="s">
        <v>32</v>
      </c>
      <c r="B12" s="23" t="s">
        <v>33</v>
      </c>
      <c r="C12" s="22" t="s">
        <v>34</v>
      </c>
      <c r="D12" s="22" t="s">
        <v>35</v>
      </c>
      <c r="E12" s="105">
        <v>3</v>
      </c>
      <c r="F12" s="313" t="s">
        <v>159</v>
      </c>
      <c r="G12" s="313"/>
      <c r="H12" s="313"/>
      <c r="I12" s="313"/>
      <c r="J12" s="313"/>
      <c r="K12" s="313"/>
      <c r="L12" s="12"/>
      <c r="M12" s="13"/>
      <c r="N12" s="12"/>
      <c r="O12" s="12"/>
      <c r="P12" s="12"/>
      <c r="Q12" s="12"/>
    </row>
    <row r="13" spans="1:17" ht="75">
      <c r="A13" s="22" t="s">
        <v>160</v>
      </c>
      <c r="B13" s="22" t="s">
        <v>161</v>
      </c>
      <c r="C13" s="29" t="s">
        <v>162</v>
      </c>
      <c r="D13" s="22" t="s">
        <v>41</v>
      </c>
      <c r="E13" s="105">
        <v>150</v>
      </c>
      <c r="F13" s="336" t="s">
        <v>163</v>
      </c>
      <c r="G13" s="336"/>
      <c r="H13" s="336"/>
      <c r="I13" s="336"/>
      <c r="J13" s="336"/>
      <c r="K13" s="336"/>
      <c r="L13" s="12"/>
      <c r="M13" s="13"/>
      <c r="N13" s="12"/>
      <c r="O13" s="12"/>
      <c r="P13" s="12"/>
      <c r="Q13" s="12"/>
    </row>
    <row r="14" spans="1:17" ht="23.25">
      <c r="A14" s="18">
        <v>2</v>
      </c>
      <c r="B14" s="18"/>
      <c r="C14" s="18" t="s">
        <v>37</v>
      </c>
      <c r="D14" s="18"/>
      <c r="E14" s="20"/>
      <c r="F14" s="312"/>
      <c r="G14" s="312"/>
      <c r="H14" s="312"/>
      <c r="I14" s="312"/>
      <c r="J14" s="312"/>
      <c r="K14" s="312"/>
      <c r="L14" s="12"/>
      <c r="M14" s="13"/>
      <c r="N14" s="12"/>
      <c r="O14" s="12"/>
      <c r="P14" s="12"/>
      <c r="Q14" s="12"/>
    </row>
    <row r="15" spans="1:17" ht="23.25">
      <c r="A15" s="22" t="s">
        <v>38</v>
      </c>
      <c r="B15" s="22" t="s">
        <v>164</v>
      </c>
      <c r="C15" s="22" t="s">
        <v>165</v>
      </c>
      <c r="D15" s="22" t="s">
        <v>41</v>
      </c>
      <c r="E15" s="104">
        <v>4354.5</v>
      </c>
      <c r="F15" s="336" t="s">
        <v>166</v>
      </c>
      <c r="G15" s="336"/>
      <c r="H15" s="336"/>
      <c r="I15" s="336"/>
      <c r="J15" s="336"/>
      <c r="K15" s="336"/>
      <c r="L15" s="12"/>
      <c r="M15" s="13"/>
      <c r="N15" s="12"/>
      <c r="O15" s="12"/>
      <c r="P15" s="12"/>
      <c r="Q15" s="12"/>
    </row>
    <row r="16" spans="1:17" ht="23.25">
      <c r="A16" s="22" t="s">
        <v>167</v>
      </c>
      <c r="B16" s="22" t="s">
        <v>168</v>
      </c>
      <c r="C16" s="22" t="s">
        <v>169</v>
      </c>
      <c r="D16" s="22" t="s">
        <v>41</v>
      </c>
      <c r="E16" s="104">
        <v>3</v>
      </c>
      <c r="F16" s="336" t="s">
        <v>170</v>
      </c>
      <c r="G16" s="336"/>
      <c r="H16" s="336"/>
      <c r="I16" s="336"/>
      <c r="J16" s="336"/>
      <c r="K16" s="336"/>
      <c r="L16" s="12"/>
      <c r="M16" s="13"/>
      <c r="N16" s="12"/>
      <c r="O16" s="12"/>
      <c r="P16" s="12"/>
      <c r="Q16" s="12"/>
    </row>
    <row r="17" spans="1:17" ht="23.25" customHeight="1">
      <c r="A17" s="22" t="s">
        <v>171</v>
      </c>
      <c r="B17" s="22" t="s">
        <v>172</v>
      </c>
      <c r="C17" s="22" t="s">
        <v>173</v>
      </c>
      <c r="D17" s="22" t="s">
        <v>174</v>
      </c>
      <c r="E17" s="105">
        <f>E43+E44+E45+E47</f>
        <v>105</v>
      </c>
      <c r="F17" s="313" t="s">
        <v>175</v>
      </c>
      <c r="G17" s="313"/>
      <c r="H17" s="313"/>
      <c r="I17" s="313"/>
      <c r="J17" s="313"/>
      <c r="K17" s="313"/>
      <c r="L17" s="12"/>
      <c r="M17" s="13"/>
      <c r="N17" s="12"/>
      <c r="O17" s="12"/>
      <c r="P17" s="12"/>
      <c r="Q17" s="12"/>
    </row>
    <row r="18" spans="1:17" ht="23.25">
      <c r="A18" s="18">
        <v>3</v>
      </c>
      <c r="B18" s="18"/>
      <c r="C18" s="19" t="s">
        <v>176</v>
      </c>
      <c r="D18" s="18"/>
      <c r="E18" s="20"/>
      <c r="F18" s="337"/>
      <c r="G18" s="337"/>
      <c r="H18" s="337"/>
      <c r="I18" s="337"/>
      <c r="J18" s="337"/>
      <c r="K18" s="337"/>
      <c r="L18" s="12"/>
      <c r="M18" s="13"/>
      <c r="N18" s="12"/>
      <c r="O18" s="12"/>
      <c r="P18" s="12"/>
      <c r="Q18" s="12"/>
    </row>
    <row r="19" spans="1:17" s="21" customFormat="1" ht="37.5" customHeight="1">
      <c r="A19" s="22" t="s">
        <v>44</v>
      </c>
      <c r="B19" s="22" t="s">
        <v>177</v>
      </c>
      <c r="C19" s="29" t="s">
        <v>178</v>
      </c>
      <c r="D19" s="22" t="s">
        <v>47</v>
      </c>
      <c r="E19" s="105">
        <f>620.32+742</f>
        <v>1362.3200000000002</v>
      </c>
      <c r="F19" s="313" t="s">
        <v>179</v>
      </c>
      <c r="G19" s="313"/>
      <c r="H19" s="313"/>
      <c r="I19" s="313"/>
      <c r="J19" s="313"/>
      <c r="K19" s="313"/>
      <c r="L19" s="12"/>
      <c r="M19" s="13"/>
      <c r="N19" s="12"/>
      <c r="O19" s="12"/>
      <c r="P19" s="12"/>
      <c r="Q19" s="12"/>
    </row>
    <row r="20" spans="1:17" ht="23.25" customHeight="1">
      <c r="A20" s="22" t="s">
        <v>49</v>
      </c>
      <c r="B20" s="22" t="s">
        <v>180</v>
      </c>
      <c r="C20" s="22" t="s">
        <v>181</v>
      </c>
      <c r="D20" s="22" t="s">
        <v>47</v>
      </c>
      <c r="E20" s="105">
        <f>E19*1.3</f>
        <v>1771.0160000000003</v>
      </c>
      <c r="F20" s="313" t="s">
        <v>182</v>
      </c>
      <c r="G20" s="313"/>
      <c r="H20" s="313"/>
      <c r="I20" s="313"/>
      <c r="J20" s="313"/>
      <c r="K20" s="313"/>
      <c r="L20" s="12"/>
      <c r="M20" s="13"/>
      <c r="N20" s="12"/>
      <c r="O20" s="12"/>
      <c r="P20" s="12"/>
      <c r="Q20" s="12"/>
    </row>
    <row r="21" spans="1:17" ht="33" customHeight="1">
      <c r="A21" s="22" t="s">
        <v>54</v>
      </c>
      <c r="B21" s="22" t="s">
        <v>183</v>
      </c>
      <c r="C21" s="22" t="s">
        <v>184</v>
      </c>
      <c r="D21" s="22" t="s">
        <v>47</v>
      </c>
      <c r="E21" s="106">
        <f>1772.33*0.35</f>
        <v>620.31549999999993</v>
      </c>
      <c r="F21" s="313" t="s">
        <v>185</v>
      </c>
      <c r="G21" s="313"/>
      <c r="H21" s="313"/>
      <c r="I21" s="313"/>
      <c r="J21" s="313"/>
      <c r="K21" s="313"/>
      <c r="L21" s="12"/>
      <c r="M21" s="13"/>
      <c r="N21" s="12"/>
      <c r="O21" s="12"/>
      <c r="P21" s="12"/>
      <c r="Q21" s="12"/>
    </row>
    <row r="22" spans="1:17" ht="23.25" customHeight="1">
      <c r="A22" s="22" t="s">
        <v>58</v>
      </c>
      <c r="B22" s="22" t="s">
        <v>186</v>
      </c>
      <c r="C22" s="22" t="s">
        <v>187</v>
      </c>
      <c r="D22" s="22" t="s">
        <v>47</v>
      </c>
      <c r="E22" s="107">
        <f>E21*1.3</f>
        <v>806.41014999999993</v>
      </c>
      <c r="F22" s="313" t="s">
        <v>182</v>
      </c>
      <c r="G22" s="313"/>
      <c r="H22" s="313"/>
      <c r="I22" s="313"/>
      <c r="J22" s="313"/>
      <c r="K22" s="313"/>
      <c r="L22" s="12"/>
      <c r="M22" s="13"/>
      <c r="N22" s="12"/>
      <c r="O22" s="12"/>
      <c r="P22" s="12"/>
      <c r="Q22" s="12"/>
    </row>
    <row r="23" spans="1:17" ht="23.25">
      <c r="A23" s="22" t="s">
        <v>61</v>
      </c>
      <c r="B23" s="22" t="s">
        <v>188</v>
      </c>
      <c r="C23" s="22" t="s">
        <v>189</v>
      </c>
      <c r="D23" s="22" t="s">
        <v>47</v>
      </c>
      <c r="E23" s="108">
        <f>E22</f>
        <v>806.41014999999993</v>
      </c>
      <c r="F23" s="336" t="s">
        <v>182</v>
      </c>
      <c r="G23" s="336"/>
      <c r="H23" s="336"/>
      <c r="I23" s="336"/>
      <c r="J23" s="336"/>
      <c r="K23" s="336"/>
      <c r="L23" s="12"/>
      <c r="M23" s="13"/>
      <c r="N23" s="12"/>
      <c r="O23" s="12"/>
      <c r="P23" s="12"/>
      <c r="Q23" s="12"/>
    </row>
    <row r="24" spans="1:17" ht="23.25" customHeight="1">
      <c r="A24" s="22" t="s">
        <v>65</v>
      </c>
      <c r="B24" s="22" t="s">
        <v>190</v>
      </c>
      <c r="C24" s="22" t="s">
        <v>191</v>
      </c>
      <c r="D24" s="22" t="s">
        <v>47</v>
      </c>
      <c r="E24" s="109">
        <v>850.2</v>
      </c>
      <c r="F24" s="313" t="s">
        <v>192</v>
      </c>
      <c r="G24" s="313"/>
      <c r="H24" s="313"/>
      <c r="I24" s="313"/>
      <c r="J24" s="313"/>
      <c r="K24" s="313"/>
      <c r="L24" s="12"/>
      <c r="M24" s="13"/>
      <c r="N24" s="12"/>
      <c r="O24" s="12"/>
      <c r="P24" s="12"/>
      <c r="Q24" s="12"/>
    </row>
    <row r="25" spans="1:17" ht="23.25">
      <c r="A25" s="22" t="s">
        <v>68</v>
      </c>
      <c r="B25" s="22" t="s">
        <v>193</v>
      </c>
      <c r="C25" s="22" t="s">
        <v>194</v>
      </c>
      <c r="D25" s="22" t="s">
        <v>41</v>
      </c>
      <c r="E25" s="109">
        <v>2503.96</v>
      </c>
      <c r="F25" s="336" t="s">
        <v>195</v>
      </c>
      <c r="G25" s="336"/>
      <c r="H25" s="336"/>
      <c r="I25" s="336"/>
      <c r="J25" s="336"/>
      <c r="K25" s="336"/>
      <c r="L25" s="12"/>
      <c r="M25" s="13"/>
      <c r="N25" s="12"/>
      <c r="O25" s="12"/>
      <c r="P25" s="12"/>
      <c r="Q25" s="12"/>
    </row>
    <row r="26" spans="1:17" ht="23.25">
      <c r="A26" s="18">
        <v>4</v>
      </c>
      <c r="B26" s="18"/>
      <c r="C26" s="18" t="s">
        <v>196</v>
      </c>
      <c r="D26" s="18"/>
      <c r="E26" s="110"/>
      <c r="F26" s="312"/>
      <c r="G26" s="312"/>
      <c r="H26" s="312"/>
      <c r="I26" s="312"/>
      <c r="J26" s="312"/>
      <c r="K26" s="312"/>
      <c r="L26" s="12"/>
      <c r="M26" s="13"/>
      <c r="N26" s="12"/>
      <c r="O26" s="12"/>
      <c r="P26" s="12"/>
      <c r="Q26" s="12"/>
    </row>
    <row r="27" spans="1:17" ht="51" customHeight="1">
      <c r="A27" s="23" t="s">
        <v>81</v>
      </c>
      <c r="B27" s="22" t="s">
        <v>197</v>
      </c>
      <c r="C27" s="22" t="s">
        <v>198</v>
      </c>
      <c r="D27" s="22" t="s">
        <v>47</v>
      </c>
      <c r="E27" s="111">
        <v>0</v>
      </c>
      <c r="F27" s="313"/>
      <c r="G27" s="313"/>
      <c r="H27" s="313"/>
      <c r="I27" s="313"/>
      <c r="J27" s="313"/>
      <c r="K27" s="313"/>
      <c r="L27" s="12"/>
      <c r="M27" s="13"/>
      <c r="N27" s="12"/>
      <c r="O27" s="12"/>
      <c r="P27" s="12"/>
      <c r="Q27" s="12"/>
    </row>
    <row r="28" spans="1:17" s="21" customFormat="1" ht="23.25">
      <c r="A28" s="23" t="s">
        <v>199</v>
      </c>
      <c r="B28" s="22" t="s">
        <v>186</v>
      </c>
      <c r="C28" s="22" t="s">
        <v>200</v>
      </c>
      <c r="D28" s="22" t="s">
        <v>47</v>
      </c>
      <c r="E28" s="111">
        <v>0</v>
      </c>
      <c r="F28" s="338"/>
      <c r="G28" s="338"/>
      <c r="H28" s="338"/>
      <c r="I28" s="338"/>
      <c r="J28" s="338"/>
      <c r="K28" s="338"/>
      <c r="L28" s="12"/>
      <c r="M28" s="13"/>
      <c r="N28" s="12"/>
      <c r="O28" s="12"/>
      <c r="P28" s="12"/>
      <c r="Q28" s="12"/>
    </row>
    <row r="29" spans="1:17" ht="23.25">
      <c r="A29" s="23" t="s">
        <v>201</v>
      </c>
      <c r="B29" s="22" t="s">
        <v>183</v>
      </c>
      <c r="C29" s="22" t="s">
        <v>202</v>
      </c>
      <c r="D29" s="22" t="s">
        <v>47</v>
      </c>
      <c r="E29" s="111">
        <v>0</v>
      </c>
      <c r="F29" s="338"/>
      <c r="G29" s="338"/>
      <c r="H29" s="338"/>
      <c r="I29" s="338"/>
      <c r="J29" s="338"/>
      <c r="K29" s="338"/>
      <c r="L29" s="12"/>
      <c r="M29" s="13"/>
      <c r="N29" s="12"/>
      <c r="O29" s="12"/>
      <c r="P29" s="12"/>
      <c r="Q29" s="12"/>
    </row>
    <row r="30" spans="1:17" ht="23.25">
      <c r="A30" s="23" t="s">
        <v>203</v>
      </c>
      <c r="B30" s="22" t="s">
        <v>186</v>
      </c>
      <c r="C30" s="22" t="s">
        <v>204</v>
      </c>
      <c r="D30" s="22" t="s">
        <v>47</v>
      </c>
      <c r="E30" s="111">
        <v>0</v>
      </c>
      <c r="F30" s="336"/>
      <c r="G30" s="336"/>
      <c r="H30" s="336"/>
      <c r="I30" s="336"/>
      <c r="J30" s="336"/>
      <c r="K30" s="336"/>
      <c r="L30" s="12"/>
      <c r="M30" s="13"/>
      <c r="N30" s="12"/>
      <c r="O30" s="12"/>
      <c r="P30" s="12"/>
      <c r="Q30" s="12"/>
    </row>
    <row r="31" spans="1:17" ht="23.25">
      <c r="A31" s="23" t="s">
        <v>205</v>
      </c>
      <c r="B31" s="22" t="s">
        <v>188</v>
      </c>
      <c r="C31" s="22" t="s">
        <v>206</v>
      </c>
      <c r="D31" s="22" t="s">
        <v>47</v>
      </c>
      <c r="E31" s="111">
        <v>0</v>
      </c>
      <c r="F31" s="336"/>
      <c r="G31" s="336"/>
      <c r="H31" s="336"/>
      <c r="I31" s="336"/>
      <c r="J31" s="336"/>
      <c r="K31" s="336"/>
      <c r="L31" s="12"/>
      <c r="M31" s="13"/>
      <c r="N31" s="12"/>
      <c r="O31" s="12"/>
      <c r="P31" s="12"/>
      <c r="Q31" s="12"/>
    </row>
    <row r="32" spans="1:17" ht="23.25">
      <c r="A32" s="23" t="s">
        <v>207</v>
      </c>
      <c r="B32" s="22" t="s">
        <v>208</v>
      </c>
      <c r="C32" s="22" t="s">
        <v>209</v>
      </c>
      <c r="D32" s="22" t="s">
        <v>47</v>
      </c>
      <c r="E32" s="111">
        <v>0</v>
      </c>
      <c r="F32" s="336"/>
      <c r="G32" s="336"/>
      <c r="H32" s="336"/>
      <c r="I32" s="336"/>
      <c r="J32" s="336"/>
      <c r="K32" s="336"/>
      <c r="L32" s="12"/>
      <c r="M32" s="13"/>
      <c r="N32" s="12"/>
      <c r="O32" s="12"/>
      <c r="P32" s="12"/>
      <c r="Q32" s="12"/>
    </row>
    <row r="33" spans="1:17" ht="23.25">
      <c r="A33" s="23" t="s">
        <v>210</v>
      </c>
      <c r="B33" s="22" t="s">
        <v>186</v>
      </c>
      <c r="C33" s="22" t="s">
        <v>211</v>
      </c>
      <c r="D33" s="22" t="s">
        <v>47</v>
      </c>
      <c r="E33" s="111">
        <v>0</v>
      </c>
      <c r="F33" s="336"/>
      <c r="G33" s="336"/>
      <c r="H33" s="336"/>
      <c r="I33" s="336"/>
      <c r="J33" s="336"/>
      <c r="K33" s="336"/>
      <c r="L33" s="12"/>
      <c r="M33" s="13"/>
      <c r="N33" s="12"/>
      <c r="O33" s="12"/>
      <c r="P33" s="12"/>
      <c r="Q33" s="12"/>
    </row>
    <row r="34" spans="1:17" ht="45" customHeight="1">
      <c r="A34" s="23" t="s">
        <v>212</v>
      </c>
      <c r="B34" s="22" t="s">
        <v>188</v>
      </c>
      <c r="C34" s="22" t="s">
        <v>213</v>
      </c>
      <c r="D34" s="22" t="s">
        <v>47</v>
      </c>
      <c r="E34" s="112">
        <v>0</v>
      </c>
      <c r="F34" s="313"/>
      <c r="G34" s="313"/>
      <c r="H34" s="313"/>
      <c r="I34" s="313"/>
      <c r="J34" s="313"/>
      <c r="K34" s="313"/>
      <c r="L34" s="12"/>
      <c r="M34" s="13"/>
      <c r="N34" s="12"/>
      <c r="O34" s="12"/>
      <c r="P34" s="12"/>
      <c r="Q34" s="12"/>
    </row>
    <row r="35" spans="1:17" ht="15.75" customHeight="1">
      <c r="A35" s="23" t="s">
        <v>214</v>
      </c>
      <c r="B35" s="22" t="s">
        <v>215</v>
      </c>
      <c r="C35" s="22" t="s">
        <v>216</v>
      </c>
      <c r="D35" s="22" t="s">
        <v>41</v>
      </c>
      <c r="E35" s="105">
        <v>0</v>
      </c>
      <c r="F35" s="313"/>
      <c r="G35" s="313"/>
      <c r="H35" s="313"/>
      <c r="I35" s="313"/>
      <c r="J35" s="313"/>
      <c r="K35" s="313"/>
    </row>
    <row r="36" spans="1:17" ht="18.75">
      <c r="A36" s="113">
        <v>5</v>
      </c>
      <c r="B36" s="18"/>
      <c r="C36" s="18" t="s">
        <v>217</v>
      </c>
      <c r="D36" s="18"/>
      <c r="E36" s="20"/>
      <c r="F36" s="312"/>
      <c r="G36" s="312"/>
      <c r="H36" s="312"/>
      <c r="I36" s="312"/>
      <c r="J36" s="312"/>
      <c r="K36" s="312"/>
    </row>
    <row r="37" spans="1:17" ht="32.25" customHeight="1">
      <c r="A37" s="114" t="s">
        <v>218</v>
      </c>
      <c r="B37" s="22" t="s">
        <v>219</v>
      </c>
      <c r="C37" s="22" t="s">
        <v>220</v>
      </c>
      <c r="D37" s="22" t="s">
        <v>47</v>
      </c>
      <c r="E37" s="105">
        <f>10*1.4+71*1.4+12*2.5</f>
        <v>143.39999999999998</v>
      </c>
      <c r="F37" s="313" t="s">
        <v>221</v>
      </c>
      <c r="G37" s="313"/>
      <c r="H37" s="313"/>
      <c r="I37" s="313"/>
      <c r="J37" s="313"/>
      <c r="K37" s="313"/>
    </row>
    <row r="38" spans="1:17" s="21" customFormat="1" ht="39.75" customHeight="1">
      <c r="A38" s="114" t="s">
        <v>222</v>
      </c>
      <c r="B38" s="22" t="s">
        <v>223</v>
      </c>
      <c r="C38" s="22" t="s">
        <v>224</v>
      </c>
      <c r="D38" s="22" t="s">
        <v>47</v>
      </c>
      <c r="E38" s="105">
        <f>10*1*0.2+71*1*0.2+12*1.2*0.2</f>
        <v>19.080000000000002</v>
      </c>
      <c r="F38" s="313" t="s">
        <v>225</v>
      </c>
      <c r="G38" s="313"/>
      <c r="H38" s="313"/>
      <c r="I38" s="313"/>
      <c r="J38" s="313"/>
      <c r="K38" s="313"/>
    </row>
    <row r="39" spans="1:17" ht="18.75">
      <c r="A39" s="114" t="s">
        <v>226</v>
      </c>
      <c r="B39" s="22" t="s">
        <v>186</v>
      </c>
      <c r="C39" s="22" t="s">
        <v>227</v>
      </c>
      <c r="D39" s="22" t="s">
        <v>47</v>
      </c>
      <c r="E39" s="105">
        <f>E38*1.3</f>
        <v>24.804000000000002</v>
      </c>
      <c r="F39" s="336" t="s">
        <v>228</v>
      </c>
      <c r="G39" s="336"/>
      <c r="H39" s="336"/>
      <c r="I39" s="336"/>
      <c r="J39" s="336"/>
      <c r="K39" s="336"/>
    </row>
    <row r="40" spans="1:17" ht="18.75">
      <c r="A40" s="114" t="s">
        <v>229</v>
      </c>
      <c r="B40" s="22" t="s">
        <v>188</v>
      </c>
      <c r="C40" s="22" t="s">
        <v>230</v>
      </c>
      <c r="D40" s="22" t="s">
        <v>47</v>
      </c>
      <c r="E40" s="105">
        <f>E39</f>
        <v>24.804000000000002</v>
      </c>
      <c r="F40" s="336" t="s">
        <v>228</v>
      </c>
      <c r="G40" s="336"/>
      <c r="H40" s="336"/>
      <c r="I40" s="336"/>
      <c r="J40" s="336"/>
      <c r="K40" s="336"/>
    </row>
    <row r="41" spans="1:17" ht="18.75" customHeight="1">
      <c r="A41" s="114" t="s">
        <v>231</v>
      </c>
      <c r="B41" s="22" t="s">
        <v>232</v>
      </c>
      <c r="C41" s="22" t="s">
        <v>233</v>
      </c>
      <c r="D41" s="22" t="s">
        <v>47</v>
      </c>
      <c r="E41" s="105">
        <f>E37*0.8</f>
        <v>114.71999999999998</v>
      </c>
      <c r="F41" s="339" t="s">
        <v>234</v>
      </c>
      <c r="G41" s="339"/>
      <c r="H41" s="339"/>
      <c r="I41" s="339"/>
      <c r="J41" s="339"/>
      <c r="K41" s="339"/>
    </row>
    <row r="42" spans="1:17" ht="18.75">
      <c r="A42" s="114" t="s">
        <v>235</v>
      </c>
      <c r="B42" s="115" t="s">
        <v>186</v>
      </c>
      <c r="C42" s="22" t="s">
        <v>236</v>
      </c>
      <c r="D42" s="22" t="s">
        <v>47</v>
      </c>
      <c r="E42" s="105">
        <f>(E37-E41)*1.3</f>
        <v>37.283999999999992</v>
      </c>
      <c r="F42" s="336" t="s">
        <v>237</v>
      </c>
      <c r="G42" s="336"/>
      <c r="H42" s="336"/>
      <c r="I42" s="336"/>
      <c r="J42" s="336"/>
      <c r="K42" s="336"/>
    </row>
    <row r="43" spans="1:17" ht="18.75">
      <c r="A43" s="114" t="s">
        <v>238</v>
      </c>
      <c r="B43" s="22" t="s">
        <v>239</v>
      </c>
      <c r="C43" s="22" t="s">
        <v>240</v>
      </c>
      <c r="D43" s="22" t="s">
        <v>174</v>
      </c>
      <c r="E43" s="105">
        <v>10</v>
      </c>
      <c r="F43" s="336" t="s">
        <v>175</v>
      </c>
      <c r="G43" s="336"/>
      <c r="H43" s="336"/>
      <c r="I43" s="336"/>
      <c r="J43" s="336"/>
      <c r="K43" s="336"/>
      <c r="P43" s="116"/>
    </row>
    <row r="44" spans="1:17" ht="18.75">
      <c r="A44" s="114" t="s">
        <v>241</v>
      </c>
      <c r="B44" s="22" t="s">
        <v>242</v>
      </c>
      <c r="C44" s="22" t="s">
        <v>243</v>
      </c>
      <c r="D44" s="22" t="s">
        <v>174</v>
      </c>
      <c r="E44" s="105">
        <v>26</v>
      </c>
      <c r="F44" s="336" t="s">
        <v>175</v>
      </c>
      <c r="G44" s="336"/>
      <c r="H44" s="336"/>
      <c r="I44" s="336"/>
      <c r="J44" s="336"/>
      <c r="K44" s="336"/>
    </row>
    <row r="45" spans="1:17" ht="18.75">
      <c r="A45" s="114" t="s">
        <v>244</v>
      </c>
      <c r="B45" s="22" t="s">
        <v>245</v>
      </c>
      <c r="C45" s="22" t="s">
        <v>246</v>
      </c>
      <c r="D45" s="22" t="s">
        <v>174</v>
      </c>
      <c r="E45" s="105">
        <v>45</v>
      </c>
      <c r="F45" s="336" t="s">
        <v>175</v>
      </c>
      <c r="G45" s="336"/>
      <c r="H45" s="336"/>
      <c r="I45" s="336"/>
      <c r="J45" s="336"/>
      <c r="K45" s="336"/>
    </row>
    <row r="46" spans="1:17" ht="18.75">
      <c r="A46" s="114" t="s">
        <v>247</v>
      </c>
      <c r="B46" s="22" t="s">
        <v>248</v>
      </c>
      <c r="C46" s="22" t="s">
        <v>249</v>
      </c>
      <c r="D46" s="22" t="s">
        <v>174</v>
      </c>
      <c r="E46" s="105">
        <v>0</v>
      </c>
      <c r="F46" s="336" t="s">
        <v>175</v>
      </c>
      <c r="G46" s="336"/>
      <c r="H46" s="336"/>
      <c r="I46" s="336"/>
      <c r="J46" s="336"/>
      <c r="K46" s="336"/>
      <c r="L46" s="117"/>
    </row>
    <row r="47" spans="1:17" ht="18.75">
      <c r="A47" s="114" t="s">
        <v>250</v>
      </c>
      <c r="B47" s="22" t="s">
        <v>251</v>
      </c>
      <c r="C47" s="22" t="s">
        <v>252</v>
      </c>
      <c r="D47" s="22" t="s">
        <v>174</v>
      </c>
      <c r="E47" s="105">
        <v>24</v>
      </c>
      <c r="F47" s="336" t="s">
        <v>175</v>
      </c>
      <c r="G47" s="336"/>
      <c r="H47" s="336"/>
      <c r="I47" s="336"/>
      <c r="J47" s="336"/>
      <c r="K47" s="336"/>
      <c r="L47" s="118"/>
    </row>
    <row r="48" spans="1:17" ht="18.75">
      <c r="A48" s="114" t="s">
        <v>253</v>
      </c>
      <c r="B48" s="22" t="s">
        <v>254</v>
      </c>
      <c r="C48" s="22" t="s">
        <v>255</v>
      </c>
      <c r="D48" s="22" t="s">
        <v>174</v>
      </c>
      <c r="E48" s="105">
        <v>0</v>
      </c>
      <c r="F48" s="336" t="s">
        <v>175</v>
      </c>
      <c r="G48" s="336"/>
      <c r="H48" s="336"/>
      <c r="I48" s="336"/>
      <c r="J48" s="336"/>
      <c r="K48" s="336"/>
    </row>
    <row r="49" spans="1:11" ht="18.75">
      <c r="A49" s="114" t="s">
        <v>256</v>
      </c>
      <c r="B49" s="22" t="s">
        <v>257</v>
      </c>
      <c r="C49" s="22" t="s">
        <v>258</v>
      </c>
      <c r="D49" s="22" t="s">
        <v>174</v>
      </c>
      <c r="E49" s="105">
        <v>10</v>
      </c>
      <c r="F49" s="336" t="s">
        <v>175</v>
      </c>
      <c r="G49" s="336"/>
      <c r="H49" s="336"/>
      <c r="I49" s="336"/>
      <c r="J49" s="336"/>
      <c r="K49" s="336"/>
    </row>
    <row r="50" spans="1:11" ht="18.75">
      <c r="A50" s="114" t="s">
        <v>259</v>
      </c>
      <c r="B50" s="22" t="s">
        <v>260</v>
      </c>
      <c r="C50" s="22" t="s">
        <v>261</v>
      </c>
      <c r="D50" s="22" t="s">
        <v>174</v>
      </c>
      <c r="E50" s="105">
        <v>71</v>
      </c>
      <c r="F50" s="336" t="s">
        <v>175</v>
      </c>
      <c r="G50" s="336"/>
      <c r="H50" s="336"/>
      <c r="I50" s="336"/>
      <c r="J50" s="336"/>
      <c r="K50" s="336"/>
    </row>
    <row r="51" spans="1:11" ht="18.75">
      <c r="A51" s="114" t="s">
        <v>262</v>
      </c>
      <c r="B51" s="22" t="s">
        <v>263</v>
      </c>
      <c r="C51" s="22" t="s">
        <v>264</v>
      </c>
      <c r="D51" s="22" t="s">
        <v>174</v>
      </c>
      <c r="E51" s="105">
        <v>24</v>
      </c>
      <c r="F51" s="336" t="s">
        <v>175</v>
      </c>
      <c r="G51" s="336"/>
      <c r="H51" s="336"/>
      <c r="I51" s="336"/>
      <c r="J51" s="336"/>
      <c r="K51" s="336"/>
    </row>
    <row r="52" spans="1:11" ht="18.75">
      <c r="A52" s="114" t="s">
        <v>265</v>
      </c>
      <c r="B52" s="22" t="s">
        <v>266</v>
      </c>
      <c r="C52" s="22" t="s">
        <v>267</v>
      </c>
      <c r="D52" s="22" t="s">
        <v>174</v>
      </c>
      <c r="E52" s="105">
        <v>0</v>
      </c>
      <c r="F52" s="336" t="s">
        <v>175</v>
      </c>
      <c r="G52" s="336"/>
      <c r="H52" s="336"/>
      <c r="I52" s="336"/>
      <c r="J52" s="336"/>
      <c r="K52" s="336"/>
    </row>
    <row r="53" spans="1:11" ht="18.75">
      <c r="A53" s="114" t="s">
        <v>268</v>
      </c>
      <c r="B53" s="22" t="s">
        <v>269</v>
      </c>
      <c r="C53" s="22" t="s">
        <v>270</v>
      </c>
      <c r="D53" s="22" t="s">
        <v>20</v>
      </c>
      <c r="E53" s="105">
        <v>7</v>
      </c>
      <c r="F53" s="336" t="s">
        <v>175</v>
      </c>
      <c r="G53" s="336"/>
      <c r="H53" s="336"/>
      <c r="I53" s="336"/>
      <c r="J53" s="336"/>
      <c r="K53" s="336"/>
    </row>
    <row r="54" spans="1:11" ht="18.75">
      <c r="A54" s="114" t="s">
        <v>271</v>
      </c>
      <c r="B54" s="119" t="s">
        <v>272</v>
      </c>
      <c r="C54" s="22" t="s">
        <v>273</v>
      </c>
      <c r="D54" s="22" t="s">
        <v>20</v>
      </c>
      <c r="E54" s="112">
        <v>6</v>
      </c>
      <c r="F54" s="336" t="s">
        <v>175</v>
      </c>
      <c r="G54" s="336"/>
      <c r="H54" s="336"/>
      <c r="I54" s="336"/>
      <c r="J54" s="336"/>
      <c r="K54" s="336"/>
    </row>
    <row r="55" spans="1:11" ht="18.75">
      <c r="A55" s="114" t="s">
        <v>274</v>
      </c>
      <c r="B55" s="119" t="s">
        <v>272</v>
      </c>
      <c r="C55" s="22" t="s">
        <v>275</v>
      </c>
      <c r="D55" s="22" t="s">
        <v>20</v>
      </c>
      <c r="E55" s="112">
        <v>1</v>
      </c>
      <c r="F55" s="336" t="s">
        <v>175</v>
      </c>
      <c r="G55" s="336"/>
      <c r="H55" s="336"/>
      <c r="I55" s="336"/>
      <c r="J55" s="336"/>
      <c r="K55" s="336"/>
    </row>
    <row r="56" spans="1:11" ht="18.75">
      <c r="A56" s="114" t="s">
        <v>276</v>
      </c>
      <c r="B56" s="119" t="s">
        <v>272</v>
      </c>
      <c r="C56" s="22" t="s">
        <v>277</v>
      </c>
      <c r="D56" s="22" t="s">
        <v>20</v>
      </c>
      <c r="E56" s="112">
        <v>0</v>
      </c>
      <c r="F56" s="336" t="s">
        <v>175</v>
      </c>
      <c r="G56" s="336"/>
      <c r="H56" s="336"/>
      <c r="I56" s="336"/>
      <c r="J56" s="336"/>
      <c r="K56" s="336"/>
    </row>
    <row r="57" spans="1:11" ht="18.75">
      <c r="A57" s="114" t="s">
        <v>276</v>
      </c>
      <c r="B57" s="22" t="s">
        <v>278</v>
      </c>
      <c r="C57" s="22" t="s">
        <v>279</v>
      </c>
      <c r="D57" s="22" t="s">
        <v>47</v>
      </c>
      <c r="E57" s="112">
        <v>10</v>
      </c>
      <c r="F57" s="336" t="s">
        <v>280</v>
      </c>
      <c r="G57" s="336"/>
      <c r="H57" s="336"/>
      <c r="I57" s="336"/>
      <c r="J57" s="336"/>
      <c r="K57" s="336"/>
    </row>
    <row r="58" spans="1:11" ht="18.75">
      <c r="A58" s="114" t="s">
        <v>281</v>
      </c>
      <c r="B58" s="22">
        <v>94965</v>
      </c>
      <c r="C58" s="22" t="s">
        <v>282</v>
      </c>
      <c r="D58" s="22" t="s">
        <v>47</v>
      </c>
      <c r="E58" s="112">
        <v>6</v>
      </c>
      <c r="F58" s="336" t="s">
        <v>283</v>
      </c>
      <c r="G58" s="336"/>
      <c r="H58" s="336"/>
      <c r="I58" s="336"/>
      <c r="J58" s="336"/>
      <c r="K58" s="336"/>
    </row>
    <row r="59" spans="1:11" ht="18.75">
      <c r="A59" s="114" t="s">
        <v>284</v>
      </c>
      <c r="B59" s="22" t="s">
        <v>285</v>
      </c>
      <c r="C59" s="22" t="s">
        <v>286</v>
      </c>
      <c r="D59" s="22" t="s">
        <v>41</v>
      </c>
      <c r="E59" s="112">
        <v>100</v>
      </c>
      <c r="F59" s="336" t="s">
        <v>163</v>
      </c>
      <c r="G59" s="336"/>
      <c r="H59" s="336"/>
      <c r="I59" s="336"/>
      <c r="J59" s="336"/>
      <c r="K59" s="336"/>
    </row>
    <row r="60" spans="1:11" ht="18.75">
      <c r="A60" s="113">
        <v>6</v>
      </c>
      <c r="B60" s="18"/>
      <c r="C60" s="18" t="s">
        <v>287</v>
      </c>
      <c r="D60" s="18"/>
      <c r="E60" s="120"/>
      <c r="F60" s="312"/>
      <c r="G60" s="312"/>
      <c r="H60" s="312"/>
      <c r="I60" s="312"/>
      <c r="J60" s="312"/>
      <c r="K60" s="312"/>
    </row>
    <row r="61" spans="1:11" ht="18.75" customHeight="1">
      <c r="A61" s="22" t="s">
        <v>288</v>
      </c>
      <c r="B61" s="22" t="s">
        <v>289</v>
      </c>
      <c r="C61" s="22" t="s">
        <v>290</v>
      </c>
      <c r="D61" s="22" t="s">
        <v>47</v>
      </c>
      <c r="E61" s="121">
        <f>2503.96*0.2</f>
        <v>500.79200000000003</v>
      </c>
      <c r="F61" s="313" t="s">
        <v>291</v>
      </c>
      <c r="G61" s="313"/>
      <c r="H61" s="313"/>
      <c r="I61" s="313"/>
      <c r="J61" s="313"/>
      <c r="K61" s="313"/>
    </row>
    <row r="62" spans="1:11" s="21" customFormat="1" ht="18.75">
      <c r="A62" s="22" t="s">
        <v>292</v>
      </c>
      <c r="B62" s="22" t="s">
        <v>186</v>
      </c>
      <c r="C62" s="22" t="s">
        <v>293</v>
      </c>
      <c r="D62" s="22" t="s">
        <v>47</v>
      </c>
      <c r="E62" s="121">
        <f>E61*1.3</f>
        <v>651.02960000000007</v>
      </c>
      <c r="F62" s="336" t="s">
        <v>182</v>
      </c>
      <c r="G62" s="336"/>
      <c r="H62" s="336"/>
      <c r="I62" s="336"/>
      <c r="J62" s="336"/>
      <c r="K62" s="336"/>
    </row>
    <row r="63" spans="1:11" ht="18.75">
      <c r="A63" s="22" t="s">
        <v>294</v>
      </c>
      <c r="B63" s="22" t="s">
        <v>188</v>
      </c>
      <c r="C63" s="22" t="s">
        <v>295</v>
      </c>
      <c r="D63" s="22" t="s">
        <v>47</v>
      </c>
      <c r="E63" s="121">
        <f>E62</f>
        <v>651.02960000000007</v>
      </c>
      <c r="F63" s="336" t="s">
        <v>182</v>
      </c>
      <c r="G63" s="336"/>
      <c r="H63" s="336"/>
      <c r="I63" s="336"/>
      <c r="J63" s="336"/>
      <c r="K63" s="336"/>
    </row>
    <row r="64" spans="1:11" ht="18.75">
      <c r="A64" s="22" t="s">
        <v>296</v>
      </c>
      <c r="B64" s="22" t="s">
        <v>297</v>
      </c>
      <c r="C64" s="122" t="s">
        <v>298</v>
      </c>
      <c r="D64" s="22" t="s">
        <v>47</v>
      </c>
      <c r="E64" s="121">
        <f>2503.96*0.03</f>
        <v>75.118799999999993</v>
      </c>
      <c r="F64" s="336" t="s">
        <v>299</v>
      </c>
      <c r="G64" s="336"/>
      <c r="H64" s="336"/>
      <c r="I64" s="336"/>
      <c r="J64" s="336"/>
      <c r="K64" s="336"/>
    </row>
    <row r="65" spans="1:11" ht="18.75">
      <c r="A65" s="22" t="s">
        <v>300</v>
      </c>
      <c r="B65" s="22" t="s">
        <v>186</v>
      </c>
      <c r="C65" s="22" t="s">
        <v>301</v>
      </c>
      <c r="D65" s="22" t="s">
        <v>47</v>
      </c>
      <c r="E65" s="121">
        <f>E64*1.3</f>
        <v>97.654439999999994</v>
      </c>
      <c r="F65" s="336" t="s">
        <v>302</v>
      </c>
      <c r="G65" s="336"/>
      <c r="H65" s="336"/>
      <c r="I65" s="336"/>
      <c r="J65" s="336"/>
      <c r="K65" s="336"/>
    </row>
    <row r="66" spans="1:11" ht="18.75">
      <c r="A66" s="22" t="s">
        <v>303</v>
      </c>
      <c r="B66" s="22" t="s">
        <v>188</v>
      </c>
      <c r="C66" s="22" t="s">
        <v>304</v>
      </c>
      <c r="D66" s="22" t="s">
        <v>47</v>
      </c>
      <c r="E66" s="121">
        <f>E65</f>
        <v>97.654439999999994</v>
      </c>
      <c r="F66" s="336" t="s">
        <v>302</v>
      </c>
      <c r="G66" s="336"/>
      <c r="H66" s="336"/>
      <c r="I66" s="336"/>
      <c r="J66" s="336"/>
      <c r="K66" s="336"/>
    </row>
    <row r="67" spans="1:11" ht="18.75">
      <c r="A67" s="22" t="s">
        <v>305</v>
      </c>
      <c r="B67" s="22" t="s">
        <v>306</v>
      </c>
      <c r="C67" s="22" t="s">
        <v>307</v>
      </c>
      <c r="D67" s="22" t="s">
        <v>47</v>
      </c>
      <c r="E67" s="121">
        <f>2503.96*0.15</f>
        <v>375.59399999999999</v>
      </c>
      <c r="F67" s="336" t="s">
        <v>308</v>
      </c>
      <c r="G67" s="336"/>
      <c r="H67" s="336"/>
      <c r="I67" s="336"/>
      <c r="J67" s="336"/>
      <c r="K67" s="336"/>
    </row>
    <row r="68" spans="1:11" ht="18.75">
      <c r="A68" s="22" t="s">
        <v>309</v>
      </c>
      <c r="B68" s="22" t="s">
        <v>186</v>
      </c>
      <c r="C68" s="22" t="s">
        <v>310</v>
      </c>
      <c r="D68" s="22" t="s">
        <v>47</v>
      </c>
      <c r="E68" s="121">
        <f>E67*1.3</f>
        <v>488.2722</v>
      </c>
      <c r="F68" s="336" t="s">
        <v>182</v>
      </c>
      <c r="G68" s="336"/>
      <c r="H68" s="336"/>
      <c r="I68" s="336"/>
      <c r="J68" s="336"/>
      <c r="K68" s="336"/>
    </row>
    <row r="69" spans="1:11" ht="18.75">
      <c r="A69" s="22" t="s">
        <v>311</v>
      </c>
      <c r="B69" s="22" t="s">
        <v>188</v>
      </c>
      <c r="C69" s="22" t="s">
        <v>312</v>
      </c>
      <c r="D69" s="22" t="s">
        <v>47</v>
      </c>
      <c r="E69" s="121">
        <f>E68</f>
        <v>488.2722</v>
      </c>
      <c r="F69" s="336" t="s">
        <v>182</v>
      </c>
      <c r="G69" s="336"/>
      <c r="H69" s="336"/>
      <c r="I69" s="336"/>
      <c r="J69" s="336"/>
      <c r="K69" s="336"/>
    </row>
    <row r="70" spans="1:11" ht="18.75">
      <c r="A70" s="22" t="s">
        <v>313</v>
      </c>
      <c r="B70" s="22" t="s">
        <v>314</v>
      </c>
      <c r="C70" s="122" t="s">
        <v>315</v>
      </c>
      <c r="D70" s="22" t="s">
        <v>174</v>
      </c>
      <c r="E70" s="112">
        <v>625</v>
      </c>
      <c r="F70" s="336" t="s">
        <v>175</v>
      </c>
      <c r="G70" s="336"/>
      <c r="H70" s="336"/>
      <c r="I70" s="336"/>
      <c r="J70" s="336"/>
      <c r="K70" s="336"/>
    </row>
    <row r="71" spans="1:11" ht="18.75">
      <c r="A71" s="22" t="s">
        <v>316</v>
      </c>
      <c r="B71" s="22" t="s">
        <v>317</v>
      </c>
      <c r="C71" s="122" t="s">
        <v>318</v>
      </c>
      <c r="D71" s="22" t="s">
        <v>41</v>
      </c>
      <c r="E71" s="112">
        <v>2503.96</v>
      </c>
      <c r="F71" s="336" t="s">
        <v>319</v>
      </c>
      <c r="G71" s="336"/>
      <c r="H71" s="336"/>
      <c r="I71" s="336"/>
      <c r="J71" s="336"/>
      <c r="K71" s="336"/>
    </row>
    <row r="72" spans="1:11" ht="18.75">
      <c r="A72" s="22" t="s">
        <v>320</v>
      </c>
      <c r="B72" s="22" t="s">
        <v>321</v>
      </c>
      <c r="C72" s="122" t="s">
        <v>322</v>
      </c>
      <c r="D72" s="22" t="s">
        <v>41</v>
      </c>
      <c r="E72" s="112">
        <v>2503.96</v>
      </c>
      <c r="F72" s="336" t="s">
        <v>319</v>
      </c>
      <c r="G72" s="336"/>
      <c r="H72" s="336"/>
      <c r="I72" s="336"/>
      <c r="J72" s="336"/>
      <c r="K72" s="336"/>
    </row>
    <row r="73" spans="1:11" ht="18.75">
      <c r="A73" s="22" t="s">
        <v>323</v>
      </c>
      <c r="B73" s="22" t="s">
        <v>324</v>
      </c>
      <c r="C73" s="122" t="s">
        <v>325</v>
      </c>
      <c r="D73" s="22" t="s">
        <v>47</v>
      </c>
      <c r="E73" s="121">
        <f>E72*0.05</f>
        <v>125.19800000000001</v>
      </c>
      <c r="F73" s="336" t="s">
        <v>326</v>
      </c>
      <c r="G73" s="336"/>
      <c r="H73" s="336"/>
      <c r="I73" s="336"/>
      <c r="J73" s="336"/>
      <c r="K73" s="336"/>
    </row>
    <row r="74" spans="1:11" ht="18.75">
      <c r="A74" s="22" t="s">
        <v>327</v>
      </c>
      <c r="B74" s="22" t="s">
        <v>328</v>
      </c>
      <c r="C74" s="22" t="s">
        <v>329</v>
      </c>
      <c r="D74" s="22" t="s">
        <v>47</v>
      </c>
      <c r="E74" s="121">
        <f>E73*1.3</f>
        <v>162.75740000000002</v>
      </c>
      <c r="F74" s="336" t="s">
        <v>182</v>
      </c>
      <c r="G74" s="336"/>
      <c r="H74" s="336"/>
      <c r="I74" s="336"/>
      <c r="J74" s="336"/>
      <c r="K74" s="336"/>
    </row>
    <row r="75" spans="1:11" ht="18.75">
      <c r="A75" s="22" t="s">
        <v>330</v>
      </c>
      <c r="B75" s="22" t="s">
        <v>331</v>
      </c>
      <c r="C75" s="22" t="s">
        <v>332</v>
      </c>
      <c r="D75" s="22" t="s">
        <v>47</v>
      </c>
      <c r="E75" s="123">
        <f>E74</f>
        <v>162.75740000000002</v>
      </c>
      <c r="F75" s="336" t="s">
        <v>182</v>
      </c>
      <c r="G75" s="336"/>
      <c r="H75" s="336"/>
      <c r="I75" s="336"/>
      <c r="J75" s="336"/>
      <c r="K75" s="336"/>
    </row>
    <row r="76" spans="1:11" ht="18.75">
      <c r="A76" s="113">
        <v>7</v>
      </c>
      <c r="B76" s="18"/>
      <c r="C76" s="18" t="s">
        <v>333</v>
      </c>
      <c r="D76" s="18"/>
      <c r="E76" s="124"/>
      <c r="F76" s="312"/>
      <c r="G76" s="312"/>
      <c r="H76" s="312"/>
      <c r="I76" s="312"/>
      <c r="J76" s="312"/>
      <c r="K76" s="312"/>
    </row>
    <row r="77" spans="1:11" ht="27" customHeight="1">
      <c r="A77" s="22" t="s">
        <v>334</v>
      </c>
      <c r="B77" s="119" t="s">
        <v>335</v>
      </c>
      <c r="C77" s="22" t="s">
        <v>336</v>
      </c>
      <c r="D77" s="22" t="s">
        <v>41</v>
      </c>
      <c r="E77" s="125">
        <v>952.5</v>
      </c>
      <c r="F77" s="313" t="s">
        <v>337</v>
      </c>
      <c r="G77" s="313"/>
      <c r="H77" s="313"/>
      <c r="I77" s="313"/>
      <c r="J77" s="313"/>
      <c r="K77" s="313"/>
    </row>
    <row r="78" spans="1:11" ht="18.75">
      <c r="A78" s="22" t="s">
        <v>338</v>
      </c>
      <c r="B78" s="126" t="s">
        <v>339</v>
      </c>
      <c r="C78" s="127" t="s">
        <v>340</v>
      </c>
      <c r="D78" s="127" t="s">
        <v>47</v>
      </c>
      <c r="E78" s="125">
        <v>10</v>
      </c>
      <c r="F78" s="336" t="s">
        <v>163</v>
      </c>
      <c r="G78" s="336"/>
      <c r="H78" s="336"/>
      <c r="I78" s="336"/>
      <c r="J78" s="336"/>
      <c r="K78" s="336"/>
    </row>
    <row r="79" spans="1:11" s="21" customFormat="1" ht="37.5">
      <c r="A79" s="22" t="s">
        <v>341</v>
      </c>
      <c r="B79" s="119" t="s">
        <v>342</v>
      </c>
      <c r="C79" s="29" t="s">
        <v>343</v>
      </c>
      <c r="D79" s="22" t="s">
        <v>41</v>
      </c>
      <c r="E79" s="125">
        <f>952.5-69.5</f>
        <v>883</v>
      </c>
      <c r="F79" s="336" t="s">
        <v>344</v>
      </c>
      <c r="G79" s="336"/>
      <c r="H79" s="336"/>
      <c r="I79" s="336"/>
      <c r="J79" s="336"/>
      <c r="K79" s="336"/>
    </row>
    <row r="80" spans="1:11" ht="18.75">
      <c r="A80" s="22" t="s">
        <v>345</v>
      </c>
      <c r="B80" s="119" t="s">
        <v>346</v>
      </c>
      <c r="C80" s="22" t="s">
        <v>347</v>
      </c>
      <c r="D80" s="22" t="s">
        <v>41</v>
      </c>
      <c r="E80" s="125">
        <v>69.5</v>
      </c>
      <c r="F80" s="336" t="s">
        <v>175</v>
      </c>
      <c r="G80" s="336"/>
      <c r="H80" s="336"/>
      <c r="I80" s="336"/>
      <c r="J80" s="336"/>
      <c r="K80" s="336"/>
    </row>
    <row r="81" spans="1:11" ht="18.75">
      <c r="A81" s="22" t="s">
        <v>348</v>
      </c>
      <c r="B81" s="119" t="s">
        <v>349</v>
      </c>
      <c r="C81" s="22" t="s">
        <v>350</v>
      </c>
      <c r="D81" s="22" t="s">
        <v>41</v>
      </c>
      <c r="E81" s="125">
        <v>2140.38</v>
      </c>
      <c r="F81" s="336" t="s">
        <v>351</v>
      </c>
      <c r="G81" s="336"/>
      <c r="H81" s="336"/>
      <c r="I81" s="336"/>
      <c r="J81" s="336"/>
      <c r="K81" s="336"/>
    </row>
    <row r="82" spans="1:11" ht="18.75">
      <c r="A82" s="113">
        <v>8</v>
      </c>
      <c r="B82" s="18"/>
      <c r="C82" s="18" t="s">
        <v>352</v>
      </c>
      <c r="D82" s="18"/>
      <c r="E82" s="124"/>
      <c r="F82" s="312"/>
      <c r="G82" s="312"/>
      <c r="H82" s="312"/>
      <c r="I82" s="312"/>
      <c r="J82" s="312"/>
      <c r="K82" s="312"/>
    </row>
    <row r="83" spans="1:11" ht="42.75" customHeight="1">
      <c r="A83" s="114" t="s">
        <v>353</v>
      </c>
      <c r="B83" s="119" t="s">
        <v>354</v>
      </c>
      <c r="C83" s="122" t="s">
        <v>355</v>
      </c>
      <c r="D83" s="22" t="s">
        <v>41</v>
      </c>
      <c r="E83" s="125">
        <f>35.3+92.6+12.27+3.2</f>
        <v>143.36999999999998</v>
      </c>
      <c r="F83" s="313" t="s">
        <v>356</v>
      </c>
      <c r="G83" s="313"/>
      <c r="H83" s="313"/>
      <c r="I83" s="313"/>
      <c r="J83" s="313"/>
      <c r="K83" s="313"/>
    </row>
    <row r="84" spans="1:11" ht="18.75">
      <c r="A84" s="114" t="s">
        <v>357</v>
      </c>
      <c r="B84" s="119" t="s">
        <v>358</v>
      </c>
      <c r="C84" s="22" t="s">
        <v>359</v>
      </c>
      <c r="D84" s="22" t="s">
        <v>41</v>
      </c>
      <c r="E84" s="125">
        <f>625*0.27</f>
        <v>168.75</v>
      </c>
      <c r="F84" s="336" t="s">
        <v>360</v>
      </c>
      <c r="G84" s="336"/>
      <c r="H84" s="336"/>
      <c r="I84" s="336"/>
      <c r="J84" s="336"/>
      <c r="K84" s="336"/>
    </row>
    <row r="85" spans="1:11" ht="18.75">
      <c r="A85" s="114" t="s">
        <v>361</v>
      </c>
      <c r="B85" s="119" t="s">
        <v>272</v>
      </c>
      <c r="C85" s="122" t="s">
        <v>362</v>
      </c>
      <c r="D85" s="22" t="s">
        <v>20</v>
      </c>
      <c r="E85" s="125">
        <v>1</v>
      </c>
      <c r="F85" s="336" t="s">
        <v>175</v>
      </c>
      <c r="G85" s="336"/>
      <c r="H85" s="336"/>
      <c r="I85" s="336"/>
      <c r="J85" s="336"/>
      <c r="K85" s="336"/>
    </row>
    <row r="86" spans="1:11" ht="18.75">
      <c r="A86" s="114" t="s">
        <v>363</v>
      </c>
      <c r="B86" s="119" t="s">
        <v>272</v>
      </c>
      <c r="C86" s="122" t="s">
        <v>364</v>
      </c>
      <c r="D86" s="22" t="s">
        <v>20</v>
      </c>
      <c r="E86" s="125">
        <v>4</v>
      </c>
      <c r="F86" s="336" t="s">
        <v>175</v>
      </c>
      <c r="G86" s="336"/>
      <c r="H86" s="336"/>
      <c r="I86" s="336"/>
      <c r="J86" s="336"/>
      <c r="K86" s="336"/>
    </row>
    <row r="87" spans="1:11" ht="18.75">
      <c r="A87" s="114" t="s">
        <v>365</v>
      </c>
      <c r="B87" s="119" t="s">
        <v>272</v>
      </c>
      <c r="C87" s="122" t="s">
        <v>366</v>
      </c>
      <c r="D87" s="22" t="s">
        <v>20</v>
      </c>
      <c r="E87" s="125">
        <v>1</v>
      </c>
      <c r="F87" s="336" t="s">
        <v>175</v>
      </c>
      <c r="G87" s="336"/>
      <c r="H87" s="336"/>
      <c r="I87" s="336"/>
      <c r="J87" s="336"/>
      <c r="K87" s="336"/>
    </row>
    <row r="88" spans="1:11" ht="18.75">
      <c r="A88" s="114" t="s">
        <v>367</v>
      </c>
      <c r="B88" s="119" t="s">
        <v>368</v>
      </c>
      <c r="C88" s="122" t="s">
        <v>369</v>
      </c>
      <c r="D88" s="22" t="s">
        <v>41</v>
      </c>
      <c r="E88" s="125">
        <v>1</v>
      </c>
      <c r="F88" s="336" t="s">
        <v>370</v>
      </c>
      <c r="G88" s="336"/>
      <c r="H88" s="336"/>
      <c r="I88" s="336"/>
      <c r="J88" s="336"/>
      <c r="K88" s="336"/>
    </row>
    <row r="89" spans="1:11" ht="18.75">
      <c r="A89" s="114" t="s">
        <v>371</v>
      </c>
      <c r="B89" s="119" t="s">
        <v>372</v>
      </c>
      <c r="C89" s="22" t="s">
        <v>373</v>
      </c>
      <c r="D89" s="22" t="s">
        <v>20</v>
      </c>
      <c r="E89" s="125">
        <v>3</v>
      </c>
      <c r="F89" s="336" t="s">
        <v>175</v>
      </c>
      <c r="G89" s="336"/>
      <c r="H89" s="336"/>
      <c r="I89" s="336"/>
      <c r="J89" s="336"/>
      <c r="K89" s="336"/>
    </row>
    <row r="90" spans="1:11" ht="18.75">
      <c r="A90" s="114" t="s">
        <v>374</v>
      </c>
      <c r="B90" s="119" t="s">
        <v>375</v>
      </c>
      <c r="C90" s="22" t="s">
        <v>376</v>
      </c>
      <c r="D90" s="22" t="s">
        <v>174</v>
      </c>
      <c r="E90" s="125">
        <v>20</v>
      </c>
      <c r="F90" s="336" t="s">
        <v>377</v>
      </c>
      <c r="G90" s="336"/>
      <c r="H90" s="336"/>
      <c r="I90" s="336"/>
      <c r="J90" s="336"/>
      <c r="K90" s="336"/>
    </row>
    <row r="91" spans="1:11" ht="18.75">
      <c r="A91" s="113">
        <v>9</v>
      </c>
      <c r="B91" s="18"/>
      <c r="C91" s="18" t="s">
        <v>378</v>
      </c>
      <c r="D91" s="18"/>
      <c r="E91" s="125"/>
      <c r="F91" s="336"/>
      <c r="G91" s="336"/>
      <c r="H91" s="336"/>
      <c r="I91" s="336"/>
      <c r="J91" s="336"/>
      <c r="K91" s="336"/>
    </row>
    <row r="92" spans="1:11">
      <c r="A92" s="104" t="s">
        <v>379</v>
      </c>
      <c r="B92" s="104" t="s">
        <v>164</v>
      </c>
      <c r="C92" s="104" t="s">
        <v>380</v>
      </c>
      <c r="D92" s="104" t="s">
        <v>41</v>
      </c>
      <c r="E92" s="125" t="e">
        <f>E15+#REF!</f>
        <v>#REF!</v>
      </c>
      <c r="F92" s="336" t="s">
        <v>381</v>
      </c>
      <c r="G92" s="336"/>
      <c r="H92" s="336"/>
      <c r="I92" s="336"/>
      <c r="J92" s="336"/>
      <c r="K92" s="336"/>
    </row>
    <row r="93" spans="1:11" s="21" customFormat="1">
      <c r="A93" s="128" t="s">
        <v>382</v>
      </c>
      <c r="B93" s="104" t="s">
        <v>383</v>
      </c>
      <c r="C93" s="129" t="s">
        <v>384</v>
      </c>
      <c r="D93" s="130" t="s">
        <v>20</v>
      </c>
      <c r="E93" s="125">
        <v>4</v>
      </c>
      <c r="F93" s="336" t="s">
        <v>385</v>
      </c>
      <c r="G93" s="336"/>
      <c r="H93" s="336"/>
      <c r="I93" s="336"/>
      <c r="J93" s="336"/>
      <c r="K93" s="336"/>
    </row>
    <row r="94" spans="1:11">
      <c r="A94" s="112"/>
      <c r="B94" s="104"/>
      <c r="C94" s="104"/>
      <c r="D94" s="104"/>
      <c r="E94" s="131"/>
      <c r="F94" s="336"/>
      <c r="G94" s="336"/>
      <c r="H94" s="336"/>
      <c r="I94" s="336"/>
      <c r="J94" s="336"/>
      <c r="K94" s="336"/>
    </row>
    <row r="97" spans="3:3">
      <c r="C97" s="12"/>
    </row>
  </sheetData>
  <sheetProtection selectLockedCells="1" selectUnlockedCells="1"/>
  <mergeCells count="101">
    <mergeCell ref="F91:K91"/>
    <mergeCell ref="F92:K92"/>
    <mergeCell ref="F93:K93"/>
    <mergeCell ref="F94:K94"/>
    <mergeCell ref="F85:K85"/>
    <mergeCell ref="F86:K86"/>
    <mergeCell ref="F87:K87"/>
    <mergeCell ref="F88:K88"/>
    <mergeCell ref="F89:K89"/>
    <mergeCell ref="F90:K90"/>
    <mergeCell ref="F79:K79"/>
    <mergeCell ref="F80:K80"/>
    <mergeCell ref="F81:K81"/>
    <mergeCell ref="F82:K82"/>
    <mergeCell ref="F83:K83"/>
    <mergeCell ref="F84:K84"/>
    <mergeCell ref="F73:K73"/>
    <mergeCell ref="F74:K74"/>
    <mergeCell ref="F75:K75"/>
    <mergeCell ref="F76:K76"/>
    <mergeCell ref="F77:K77"/>
    <mergeCell ref="F78:K78"/>
    <mergeCell ref="F67:K67"/>
    <mergeCell ref="F68:K68"/>
    <mergeCell ref="F69:K69"/>
    <mergeCell ref="F70:K70"/>
    <mergeCell ref="F71:K71"/>
    <mergeCell ref="F72:K72"/>
    <mergeCell ref="F61:K61"/>
    <mergeCell ref="F62:K62"/>
    <mergeCell ref="F63:K63"/>
    <mergeCell ref="F64:K64"/>
    <mergeCell ref="F65:K65"/>
    <mergeCell ref="F66:K66"/>
    <mergeCell ref="F55:K55"/>
    <mergeCell ref="F56:K56"/>
    <mergeCell ref="F57:K57"/>
    <mergeCell ref="F58:K58"/>
    <mergeCell ref="F59:K59"/>
    <mergeCell ref="F60:K60"/>
    <mergeCell ref="F49:K49"/>
    <mergeCell ref="F50:K50"/>
    <mergeCell ref="F51:K51"/>
    <mergeCell ref="F52:K52"/>
    <mergeCell ref="F53:K53"/>
    <mergeCell ref="F54:K54"/>
    <mergeCell ref="F43:K43"/>
    <mergeCell ref="F44:K44"/>
    <mergeCell ref="F45:K45"/>
    <mergeCell ref="F46:K46"/>
    <mergeCell ref="F47:K47"/>
    <mergeCell ref="F48:K48"/>
    <mergeCell ref="F37:K37"/>
    <mergeCell ref="F38:K38"/>
    <mergeCell ref="F39:K39"/>
    <mergeCell ref="F40:K40"/>
    <mergeCell ref="F41:K41"/>
    <mergeCell ref="F42:K42"/>
    <mergeCell ref="F31:K31"/>
    <mergeCell ref="F32:K32"/>
    <mergeCell ref="F33:K33"/>
    <mergeCell ref="F34:K34"/>
    <mergeCell ref="F35:K35"/>
    <mergeCell ref="F36:K36"/>
    <mergeCell ref="F25:K25"/>
    <mergeCell ref="F26:K26"/>
    <mergeCell ref="F27:K27"/>
    <mergeCell ref="F28:K28"/>
    <mergeCell ref="F29:K29"/>
    <mergeCell ref="F30:K30"/>
    <mergeCell ref="F19:K19"/>
    <mergeCell ref="F20:K20"/>
    <mergeCell ref="F21:K21"/>
    <mergeCell ref="F22:K22"/>
    <mergeCell ref="F23:K23"/>
    <mergeCell ref="F24:K24"/>
    <mergeCell ref="F13:K13"/>
    <mergeCell ref="F14:K14"/>
    <mergeCell ref="F15:K15"/>
    <mergeCell ref="F16:K16"/>
    <mergeCell ref="F17:K17"/>
    <mergeCell ref="F18:K18"/>
    <mergeCell ref="M7:N7"/>
    <mergeCell ref="O7:Q7"/>
    <mergeCell ref="F9:K9"/>
    <mergeCell ref="F10:K10"/>
    <mergeCell ref="F11:K11"/>
    <mergeCell ref="F12:K12"/>
    <mergeCell ref="A6:K6"/>
    <mergeCell ref="A7:A8"/>
    <mergeCell ref="B7:B8"/>
    <mergeCell ref="C7:C8"/>
    <mergeCell ref="D7:D8"/>
    <mergeCell ref="E7:E8"/>
    <mergeCell ref="F7:K8"/>
    <mergeCell ref="A1:K1"/>
    <mergeCell ref="A2:K2"/>
    <mergeCell ref="A3:K3"/>
    <mergeCell ref="A4:K4"/>
    <mergeCell ref="M4:O4"/>
    <mergeCell ref="A5:I5"/>
  </mergeCells>
  <printOptions horizontalCentered="1"/>
  <pageMargins left="0.19652777777777777" right="0.70833333333333337" top="0.78749999999999998" bottom="0.78749999999999998" header="0.51181102362204722" footer="0.51181102362204722"/>
  <pageSetup paperSize="9" scale="65" firstPageNumber="0" orientation="landscape" horizontalDpi="300" verticalDpi="300" r:id="rId1"/>
  <headerFooter alignWithMargins="0"/>
  <rowBreaks count="2" manualBreakCount="2">
    <brk id="25" max="16383" man="1"/>
    <brk id="5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98"/>
  <sheetViews>
    <sheetView view="pageBreakPreview" workbookViewId="0">
      <selection activeCell="A15" sqref="A15"/>
    </sheetView>
  </sheetViews>
  <sheetFormatPr defaultRowHeight="15"/>
  <cols>
    <col min="1" max="1" width="10.140625" customWidth="1"/>
    <col min="2" max="2" width="30.140625" style="38" customWidth="1"/>
    <col min="3" max="3" width="117.7109375" style="39" customWidth="1"/>
    <col min="4" max="4" width="7.7109375" style="40" customWidth="1"/>
    <col min="5" max="5" width="9.5703125" style="41" customWidth="1"/>
    <col min="6" max="6" width="16.7109375" customWidth="1"/>
    <col min="7" max="7" width="15.85546875" customWidth="1"/>
    <col min="8" max="10" width="22.42578125" customWidth="1"/>
    <col min="11" max="11" width="10.5703125" customWidth="1"/>
    <col min="12" max="12" width="11" style="42" customWidth="1"/>
    <col min="13" max="13" width="9.85546875" style="42" customWidth="1"/>
    <col min="14" max="14" width="14.7109375" style="42" customWidth="1"/>
    <col min="15" max="15" width="10.42578125" style="42" customWidth="1"/>
    <col min="16" max="16" width="184" style="42" customWidth="1"/>
    <col min="17" max="31" width="9" style="42" customWidth="1"/>
  </cols>
  <sheetData>
    <row r="1" spans="1:31" ht="18">
      <c r="A1" s="322" t="s">
        <v>13</v>
      </c>
      <c r="B1" s="322"/>
      <c r="C1" s="322"/>
      <c r="D1" s="322"/>
      <c r="E1" s="322"/>
      <c r="F1" s="322"/>
      <c r="G1" s="322"/>
      <c r="H1" s="322"/>
      <c r="I1" s="322"/>
      <c r="J1" s="322"/>
    </row>
    <row r="2" spans="1:31" ht="18">
      <c r="A2" s="322" t="s">
        <v>14</v>
      </c>
      <c r="B2" s="322"/>
      <c r="C2" s="322"/>
      <c r="D2" s="322"/>
      <c r="E2" s="322"/>
      <c r="F2" s="322"/>
      <c r="G2" s="322"/>
      <c r="H2" s="322"/>
      <c r="I2" s="322"/>
      <c r="J2" s="322"/>
    </row>
    <row r="3" spans="1:31" ht="18">
      <c r="A3" s="322" t="s">
        <v>1</v>
      </c>
      <c r="B3" s="322"/>
      <c r="C3" s="322"/>
      <c r="D3" s="322"/>
      <c r="E3" s="322"/>
      <c r="F3" s="322"/>
      <c r="G3" s="322"/>
      <c r="H3" s="322"/>
      <c r="I3" s="322"/>
      <c r="J3" s="322"/>
    </row>
    <row r="4" spans="1:31" ht="48.75" customHeight="1">
      <c r="A4" s="340" t="s">
        <v>151</v>
      </c>
      <c r="B4" s="340"/>
      <c r="C4" s="340"/>
      <c r="D4" s="340"/>
      <c r="E4" s="340"/>
      <c r="F4" s="340"/>
      <c r="G4" s="340"/>
      <c r="H4" s="340"/>
      <c r="I4" s="340"/>
      <c r="J4" s="340"/>
    </row>
    <row r="5" spans="1:31" ht="20.25" customHeight="1">
      <c r="A5" s="340" t="s">
        <v>152</v>
      </c>
      <c r="B5" s="340"/>
      <c r="C5" s="340"/>
      <c r="D5" s="340"/>
      <c r="E5" s="340"/>
      <c r="F5" s="340"/>
      <c r="G5" s="340"/>
      <c r="H5" s="340"/>
      <c r="I5" s="340"/>
      <c r="J5" s="340"/>
    </row>
    <row r="6" spans="1:31" ht="23.25" customHeight="1">
      <c r="A6" s="341" t="s">
        <v>386</v>
      </c>
      <c r="B6" s="341"/>
      <c r="C6" s="341"/>
      <c r="D6" s="341"/>
      <c r="E6" s="341"/>
      <c r="F6" s="341"/>
      <c r="G6" s="341"/>
      <c r="H6" s="341"/>
      <c r="I6" s="341"/>
      <c r="J6" s="341"/>
    </row>
    <row r="7" spans="1:31">
      <c r="A7" s="42"/>
      <c r="B7" s="132"/>
      <c r="C7" s="99"/>
      <c r="D7" s="133"/>
      <c r="E7" s="134"/>
      <c r="F7" s="42"/>
      <c r="G7" s="42"/>
      <c r="H7" s="42"/>
      <c r="I7" s="42"/>
      <c r="J7" s="42"/>
      <c r="K7" s="42"/>
    </row>
    <row r="8" spans="1:31" ht="18" customHeight="1">
      <c r="A8" s="342" t="s">
        <v>387</v>
      </c>
      <c r="B8" s="342" t="s">
        <v>388</v>
      </c>
      <c r="C8" s="343" t="s">
        <v>389</v>
      </c>
      <c r="D8" s="343" t="s">
        <v>390</v>
      </c>
      <c r="E8" s="344" t="s">
        <v>391</v>
      </c>
      <c r="F8" s="345" t="s">
        <v>392</v>
      </c>
      <c r="G8" s="345"/>
      <c r="H8" s="345" t="s">
        <v>102</v>
      </c>
      <c r="I8" s="345"/>
      <c r="J8" s="345"/>
      <c r="K8" s="42"/>
      <c r="L8" s="329" t="s">
        <v>393</v>
      </c>
      <c r="M8" s="329"/>
      <c r="N8" s="329"/>
      <c r="O8" s="42" t="s">
        <v>394</v>
      </c>
    </row>
    <row r="9" spans="1:31" ht="18.75">
      <c r="A9" s="342"/>
      <c r="B9" s="342"/>
      <c r="C9" s="343"/>
      <c r="D9" s="343"/>
      <c r="E9" s="344"/>
      <c r="F9" s="135" t="s">
        <v>91</v>
      </c>
      <c r="G9" s="135" t="s">
        <v>92</v>
      </c>
      <c r="H9" s="135" t="s">
        <v>93</v>
      </c>
      <c r="I9" s="135" t="s">
        <v>94</v>
      </c>
      <c r="J9" s="135" t="s">
        <v>395</v>
      </c>
      <c r="K9" s="42"/>
      <c r="L9" s="42" t="s">
        <v>396</v>
      </c>
      <c r="M9" s="42" t="s">
        <v>397</v>
      </c>
      <c r="N9" s="42" t="s">
        <v>398</v>
      </c>
    </row>
    <row r="10" spans="1:31" ht="18.75">
      <c r="A10" s="18">
        <v>1</v>
      </c>
      <c r="B10" s="18"/>
      <c r="C10" s="19" t="s">
        <v>23</v>
      </c>
      <c r="D10" s="18"/>
      <c r="E10" s="51"/>
      <c r="F10" s="18"/>
      <c r="G10" s="18"/>
      <c r="H10" s="18"/>
      <c r="I10" s="18"/>
      <c r="J10" s="18"/>
      <c r="K10" s="52"/>
      <c r="L10" s="52"/>
      <c r="M10" s="52"/>
      <c r="N10" s="52"/>
      <c r="O10" s="52"/>
      <c r="P10" s="53"/>
      <c r="Q10" s="52"/>
      <c r="R10" s="52"/>
      <c r="S10" s="52"/>
      <c r="T10" s="52"/>
      <c r="U10" s="52"/>
      <c r="V10" s="52"/>
      <c r="W10" s="52"/>
      <c r="X10" s="52"/>
      <c r="Y10" s="52"/>
      <c r="Z10" s="52"/>
      <c r="AA10" s="52"/>
      <c r="AB10" s="52"/>
      <c r="AC10" s="52"/>
      <c r="AD10" s="52"/>
      <c r="AE10" s="52"/>
    </row>
    <row r="11" spans="1:31" ht="18.75">
      <c r="A11" s="22" t="s">
        <v>24</v>
      </c>
      <c r="B11" s="22" t="s">
        <v>25</v>
      </c>
      <c r="C11" s="22" t="s">
        <v>154</v>
      </c>
      <c r="D11" s="22" t="s">
        <v>27</v>
      </c>
      <c r="E11" s="136">
        <f>'MEMÓRIA QUANTITATIVOS LOT 01'!E10</f>
        <v>10</v>
      </c>
      <c r="F11" s="55">
        <f t="shared" ref="F11:F14" si="0">ROUND(L11,2)</f>
        <v>234.12</v>
      </c>
      <c r="G11" s="55">
        <f t="shared" ref="G11:G14" si="1">ROUND(M11,2)</f>
        <v>58.53</v>
      </c>
      <c r="H11" s="55">
        <f t="shared" ref="H11:H14" si="2">E11*F11</f>
        <v>2341.1999999999998</v>
      </c>
      <c r="I11" s="55">
        <f t="shared" ref="I11:I14" si="3">E11*G11</f>
        <v>585.29999999999995</v>
      </c>
      <c r="J11" s="55">
        <f t="shared" ref="J11:J14" si="4">I11+H11</f>
        <v>2926.5</v>
      </c>
      <c r="K11" s="56">
        <f t="shared" ref="K11:K26" si="5">F11+G11</f>
        <v>292.64999999999998</v>
      </c>
      <c r="L11" s="53">
        <f t="shared" ref="L11:L14" si="6">O11*0.8</f>
        <v>234.11840000000004</v>
      </c>
      <c r="M11" s="53">
        <f t="shared" ref="M11:M14" si="7">O11*0.2</f>
        <v>58.529600000000009</v>
      </c>
      <c r="N11" s="57">
        <v>233</v>
      </c>
      <c r="O11" s="58">
        <f t="shared" ref="O11:O14" si="8">N11*1.256</f>
        <v>292.64800000000002</v>
      </c>
      <c r="P11" s="57" t="s">
        <v>399</v>
      </c>
      <c r="Q11" s="53"/>
      <c r="R11" s="53"/>
      <c r="S11" s="53"/>
      <c r="T11" s="53"/>
      <c r="U11" s="53"/>
      <c r="V11" s="53"/>
      <c r="W11" s="53"/>
      <c r="X11" s="53"/>
      <c r="Y11" s="53"/>
      <c r="Z11" s="53"/>
      <c r="AA11" s="53"/>
      <c r="AB11" s="53"/>
      <c r="AC11" s="53"/>
      <c r="AD11" s="53"/>
      <c r="AE11" s="53"/>
    </row>
    <row r="12" spans="1:31" ht="18.75">
      <c r="A12" s="22" t="s">
        <v>29</v>
      </c>
      <c r="B12" s="22" t="s">
        <v>156</v>
      </c>
      <c r="C12" s="22" t="s">
        <v>157</v>
      </c>
      <c r="D12" s="22" t="s">
        <v>27</v>
      </c>
      <c r="E12" s="136">
        <f>'MEMÓRIA QUANTITATIVOS LOT 01'!E11</f>
        <v>4</v>
      </c>
      <c r="F12" s="55">
        <f t="shared" si="0"/>
        <v>158.76</v>
      </c>
      <c r="G12" s="55">
        <f t="shared" si="1"/>
        <v>39.69</v>
      </c>
      <c r="H12" s="55">
        <f t="shared" si="2"/>
        <v>635.04</v>
      </c>
      <c r="I12" s="55">
        <f t="shared" si="3"/>
        <v>158.76</v>
      </c>
      <c r="J12" s="55">
        <f t="shared" si="4"/>
        <v>793.8</v>
      </c>
      <c r="K12" s="56">
        <f t="shared" si="5"/>
        <v>198.45</v>
      </c>
      <c r="L12" s="53">
        <f t="shared" si="6"/>
        <v>158.75840000000002</v>
      </c>
      <c r="M12" s="53">
        <f t="shared" si="7"/>
        <v>39.689600000000006</v>
      </c>
      <c r="N12" s="57">
        <v>158</v>
      </c>
      <c r="O12" s="58">
        <f t="shared" si="8"/>
        <v>198.44800000000001</v>
      </c>
      <c r="P12" s="57" t="s">
        <v>400</v>
      </c>
      <c r="Q12" s="53"/>
      <c r="R12" s="53"/>
      <c r="S12" s="53"/>
      <c r="T12" s="53"/>
      <c r="U12" s="53"/>
      <c r="V12" s="53"/>
      <c r="W12" s="53"/>
      <c r="X12" s="53"/>
      <c r="Y12" s="53"/>
      <c r="Z12" s="53"/>
      <c r="AA12" s="53"/>
      <c r="AB12" s="53"/>
      <c r="AC12" s="53"/>
      <c r="AD12" s="53"/>
      <c r="AE12" s="53"/>
    </row>
    <row r="13" spans="1:31" ht="30">
      <c r="A13" s="22" t="s">
        <v>32</v>
      </c>
      <c r="B13" s="23" t="s">
        <v>33</v>
      </c>
      <c r="C13" s="22" t="s">
        <v>34</v>
      </c>
      <c r="D13" s="22" t="s">
        <v>35</v>
      </c>
      <c r="E13" s="136">
        <f>'MEMÓRIA QUANTITATIVOS LOT 01'!E12</f>
        <v>3</v>
      </c>
      <c r="F13" s="55">
        <f t="shared" si="0"/>
        <v>522.5</v>
      </c>
      <c r="G13" s="55">
        <f t="shared" si="1"/>
        <v>130.62</v>
      </c>
      <c r="H13" s="55">
        <f t="shared" si="2"/>
        <v>1567.5</v>
      </c>
      <c r="I13" s="55">
        <f t="shared" si="3"/>
        <v>391.86</v>
      </c>
      <c r="J13" s="55">
        <f t="shared" si="4"/>
        <v>1959.3600000000001</v>
      </c>
      <c r="K13" s="56">
        <f t="shared" si="5"/>
        <v>653.12</v>
      </c>
      <c r="L13" s="53">
        <f t="shared" si="6"/>
        <v>522.49599999999998</v>
      </c>
      <c r="M13" s="53">
        <f t="shared" si="7"/>
        <v>130.624</v>
      </c>
      <c r="N13" s="53">
        <v>520</v>
      </c>
      <c r="O13" s="58">
        <f t="shared" si="8"/>
        <v>653.12</v>
      </c>
      <c r="P13" s="137" t="s">
        <v>401</v>
      </c>
      <c r="Q13" s="53"/>
      <c r="R13" s="53"/>
      <c r="S13" s="53"/>
      <c r="T13" s="53"/>
      <c r="U13" s="53"/>
      <c r="V13" s="53"/>
      <c r="W13" s="53"/>
      <c r="X13" s="53"/>
      <c r="Y13" s="53"/>
      <c r="Z13" s="53"/>
      <c r="AA13" s="53"/>
      <c r="AB13" s="53"/>
      <c r="AC13" s="53"/>
      <c r="AD13" s="53"/>
      <c r="AE13" s="53"/>
    </row>
    <row r="14" spans="1:31" ht="56.25">
      <c r="A14" s="22" t="s">
        <v>160</v>
      </c>
      <c r="B14" s="22" t="s">
        <v>161</v>
      </c>
      <c r="C14" s="29" t="s">
        <v>162</v>
      </c>
      <c r="D14" s="22" t="s">
        <v>41</v>
      </c>
      <c r="E14" s="136">
        <f>'MEMÓRIA QUANTITATIVOS LOT 01'!E13</f>
        <v>150</v>
      </c>
      <c r="F14" s="55">
        <f t="shared" si="0"/>
        <v>19.07</v>
      </c>
      <c r="G14" s="55">
        <f t="shared" si="1"/>
        <v>4.7699999999999996</v>
      </c>
      <c r="H14" s="55">
        <f t="shared" si="2"/>
        <v>2860.5</v>
      </c>
      <c r="I14" s="55">
        <f t="shared" si="3"/>
        <v>715.49999999999989</v>
      </c>
      <c r="J14" s="55">
        <f t="shared" si="4"/>
        <v>3576</v>
      </c>
      <c r="K14" s="56">
        <f t="shared" si="5"/>
        <v>23.84</v>
      </c>
      <c r="L14" s="53">
        <f t="shared" si="6"/>
        <v>19.071104000000002</v>
      </c>
      <c r="M14" s="53">
        <f t="shared" si="7"/>
        <v>4.7677760000000005</v>
      </c>
      <c r="N14" s="53">
        <v>18.98</v>
      </c>
      <c r="O14" s="58">
        <f t="shared" si="8"/>
        <v>23.83888</v>
      </c>
      <c r="P14" s="60" t="s">
        <v>402</v>
      </c>
      <c r="Q14" s="53"/>
      <c r="R14" s="53"/>
      <c r="S14" s="53"/>
      <c r="T14" s="53"/>
      <c r="U14" s="53"/>
      <c r="V14" s="53"/>
      <c r="W14" s="53"/>
      <c r="X14" s="53"/>
      <c r="Y14" s="53"/>
      <c r="Z14" s="53"/>
      <c r="AA14" s="53"/>
      <c r="AB14" s="53"/>
      <c r="AC14" s="53"/>
      <c r="AD14" s="53"/>
      <c r="AE14" s="53"/>
    </row>
    <row r="15" spans="1:31" ht="18.75">
      <c r="A15" s="18">
        <v>2</v>
      </c>
      <c r="B15" s="18"/>
      <c r="C15" s="18" t="s">
        <v>37</v>
      </c>
      <c r="D15" s="18"/>
      <c r="E15" s="136">
        <f>'MEMÓRIA QUANTITATIVOS LOT 01'!E14</f>
        <v>0</v>
      </c>
      <c r="F15" s="138"/>
      <c r="G15" s="138"/>
      <c r="H15" s="138"/>
      <c r="I15" s="138"/>
      <c r="J15" s="138"/>
      <c r="K15" s="56">
        <f t="shared" si="5"/>
        <v>0</v>
      </c>
      <c r="L15" s="53"/>
      <c r="M15" s="53"/>
      <c r="N15" s="53"/>
      <c r="O15" s="58"/>
      <c r="P15" s="60"/>
      <c r="Q15" s="53"/>
      <c r="R15" s="53"/>
      <c r="S15" s="53"/>
      <c r="T15" s="53"/>
      <c r="U15" s="53"/>
      <c r="V15" s="53"/>
      <c r="W15" s="53"/>
      <c r="X15" s="53"/>
      <c r="Y15" s="53"/>
      <c r="Z15" s="53"/>
      <c r="AA15" s="53"/>
      <c r="AB15" s="53"/>
      <c r="AC15" s="53"/>
      <c r="AD15" s="53"/>
      <c r="AE15" s="53"/>
    </row>
    <row r="16" spans="1:31" ht="30">
      <c r="A16" s="22" t="s">
        <v>38</v>
      </c>
      <c r="B16" s="22" t="s">
        <v>164</v>
      </c>
      <c r="C16" s="22" t="s">
        <v>165</v>
      </c>
      <c r="D16" s="22" t="s">
        <v>41</v>
      </c>
      <c r="E16" s="136">
        <f>'MEMÓRIA QUANTITATIVOS LOT 01'!E15</f>
        <v>4354.5</v>
      </c>
      <c r="F16" s="55">
        <f t="shared" ref="F16:F18" si="9">ROUND(L16,2)</f>
        <v>0.38</v>
      </c>
      <c r="G16" s="55">
        <f t="shared" ref="G16:G18" si="10">ROUND(M16,2)</f>
        <v>0.1</v>
      </c>
      <c r="H16" s="55">
        <f t="shared" ref="H16:H18" si="11">E16*F16</f>
        <v>1654.71</v>
      </c>
      <c r="I16" s="55">
        <f t="shared" ref="I16:I18" si="12">E16*G16</f>
        <v>435.45000000000005</v>
      </c>
      <c r="J16" s="55">
        <f t="shared" ref="J16:J18" si="13">I16+H16</f>
        <v>2090.16</v>
      </c>
      <c r="K16" s="56">
        <f t="shared" si="5"/>
        <v>0.48</v>
      </c>
      <c r="L16" s="53">
        <f t="shared" ref="L16:L26" si="14">O16*0.8</f>
        <v>0.381824</v>
      </c>
      <c r="M16" s="53">
        <f t="shared" ref="M16:M26" si="15">O16*0.2</f>
        <v>9.5455999999999999E-2</v>
      </c>
      <c r="N16" s="53">
        <v>0.38</v>
      </c>
      <c r="O16" s="58">
        <f t="shared" ref="O16:O26" si="16">N16*1.256</f>
        <v>0.47727999999999998</v>
      </c>
      <c r="P16" s="60" t="s">
        <v>403</v>
      </c>
      <c r="Q16" s="53"/>
      <c r="R16" s="53"/>
      <c r="S16" s="53"/>
      <c r="T16" s="53"/>
      <c r="U16" s="53"/>
      <c r="V16" s="53"/>
      <c r="W16" s="53"/>
      <c r="X16" s="53"/>
      <c r="Y16" s="53"/>
      <c r="Z16" s="53"/>
      <c r="AA16" s="53"/>
      <c r="AB16" s="53"/>
      <c r="AC16" s="53"/>
      <c r="AD16" s="53"/>
      <c r="AE16" s="53"/>
    </row>
    <row r="17" spans="1:31" ht="18.75">
      <c r="A17" s="22" t="s">
        <v>167</v>
      </c>
      <c r="B17" s="22" t="s">
        <v>168</v>
      </c>
      <c r="C17" s="22" t="s">
        <v>169</v>
      </c>
      <c r="D17" s="22" t="s">
        <v>41</v>
      </c>
      <c r="E17" s="136">
        <f>'MEMÓRIA QUANTITATIVOS LOT 01'!E16</f>
        <v>3</v>
      </c>
      <c r="F17" s="55">
        <f t="shared" si="9"/>
        <v>232.7</v>
      </c>
      <c r="G17" s="55">
        <f t="shared" si="10"/>
        <v>58.18</v>
      </c>
      <c r="H17" s="55">
        <f t="shared" si="11"/>
        <v>698.09999999999991</v>
      </c>
      <c r="I17" s="55">
        <f t="shared" si="12"/>
        <v>174.54</v>
      </c>
      <c r="J17" s="55">
        <f t="shared" si="13"/>
        <v>872.63999999999987</v>
      </c>
      <c r="K17" s="56">
        <f t="shared" si="5"/>
        <v>290.88</v>
      </c>
      <c r="L17" s="53">
        <f t="shared" si="14"/>
        <v>232.70163200000002</v>
      </c>
      <c r="M17" s="53">
        <f t="shared" si="15"/>
        <v>58.175408000000004</v>
      </c>
      <c r="N17" s="53">
        <v>231.59</v>
      </c>
      <c r="O17" s="58">
        <f t="shared" si="16"/>
        <v>290.87704000000002</v>
      </c>
      <c r="P17" s="104" t="s">
        <v>404</v>
      </c>
      <c r="Q17" s="53"/>
      <c r="R17" s="53"/>
      <c r="S17" s="53"/>
      <c r="T17" s="53"/>
      <c r="U17" s="53"/>
      <c r="V17" s="53"/>
      <c r="W17" s="53"/>
      <c r="X17" s="53"/>
      <c r="Y17" s="53"/>
      <c r="Z17" s="53"/>
      <c r="AA17" s="53"/>
      <c r="AB17" s="53"/>
      <c r="AC17" s="53"/>
      <c r="AD17" s="53"/>
      <c r="AE17" s="53"/>
    </row>
    <row r="18" spans="1:31" ht="18.75">
      <c r="A18" s="22" t="s">
        <v>171</v>
      </c>
      <c r="B18" s="22" t="s">
        <v>172</v>
      </c>
      <c r="C18" s="22" t="s">
        <v>173</v>
      </c>
      <c r="D18" s="22" t="s">
        <v>174</v>
      </c>
      <c r="E18" s="136">
        <f>'MEMÓRIA QUANTITATIVOS LOT 01'!E17</f>
        <v>105</v>
      </c>
      <c r="F18" s="55">
        <f t="shared" si="9"/>
        <v>3.1</v>
      </c>
      <c r="G18" s="55">
        <f t="shared" si="10"/>
        <v>0.78</v>
      </c>
      <c r="H18" s="55">
        <f t="shared" si="11"/>
        <v>325.5</v>
      </c>
      <c r="I18" s="55">
        <f t="shared" si="12"/>
        <v>81.900000000000006</v>
      </c>
      <c r="J18" s="55">
        <f t="shared" si="13"/>
        <v>407.4</v>
      </c>
      <c r="K18" s="56">
        <f t="shared" si="5"/>
        <v>3.88</v>
      </c>
      <c r="L18" s="53">
        <f t="shared" si="14"/>
        <v>3.104832</v>
      </c>
      <c r="M18" s="53">
        <f t="shared" si="15"/>
        <v>0.77620800000000001</v>
      </c>
      <c r="N18" s="53">
        <v>3.09</v>
      </c>
      <c r="O18" s="58">
        <f t="shared" si="16"/>
        <v>3.88104</v>
      </c>
      <c r="P18" s="104" t="s">
        <v>405</v>
      </c>
      <c r="Q18" s="53"/>
      <c r="R18" s="53"/>
      <c r="S18" s="53"/>
      <c r="T18" s="53"/>
      <c r="U18" s="53"/>
      <c r="V18" s="53"/>
      <c r="W18" s="53"/>
      <c r="X18" s="53"/>
      <c r="Y18" s="53"/>
      <c r="Z18" s="53"/>
      <c r="AA18" s="53"/>
      <c r="AB18" s="53"/>
      <c r="AC18" s="53"/>
      <c r="AD18" s="53"/>
      <c r="AE18" s="53"/>
    </row>
    <row r="19" spans="1:31" ht="15" customHeight="1">
      <c r="A19" s="18">
        <v>3</v>
      </c>
      <c r="B19" s="18"/>
      <c r="C19" s="19" t="s">
        <v>176</v>
      </c>
      <c r="D19" s="18"/>
      <c r="E19" s="136">
        <f>'MEMÓRIA QUANTITATIVOS LOT 01'!E18</f>
        <v>0</v>
      </c>
      <c r="F19" s="138"/>
      <c r="G19" s="138"/>
      <c r="H19" s="138"/>
      <c r="I19" s="138"/>
      <c r="J19" s="138"/>
      <c r="K19" s="56">
        <f t="shared" si="5"/>
        <v>0</v>
      </c>
      <c r="L19" s="53">
        <f t="shared" si="14"/>
        <v>0</v>
      </c>
      <c r="M19" s="53">
        <f t="shared" si="15"/>
        <v>0</v>
      </c>
      <c r="N19" s="52"/>
      <c r="O19" s="58">
        <f t="shared" si="16"/>
        <v>0</v>
      </c>
      <c r="P19" s="104"/>
      <c r="Q19" s="52"/>
      <c r="R19" s="52"/>
      <c r="S19" s="52"/>
      <c r="T19" s="52"/>
      <c r="U19" s="52"/>
      <c r="V19" s="52"/>
      <c r="W19" s="52"/>
      <c r="X19" s="52"/>
      <c r="Y19" s="52"/>
      <c r="Z19" s="52"/>
      <c r="AA19" s="52"/>
      <c r="AB19" s="52"/>
      <c r="AC19" s="52"/>
      <c r="AD19" s="52"/>
      <c r="AE19" s="52"/>
    </row>
    <row r="20" spans="1:31" ht="37.5" customHeight="1">
      <c r="A20" s="22" t="s">
        <v>44</v>
      </c>
      <c r="B20" s="22" t="s">
        <v>177</v>
      </c>
      <c r="C20" s="29" t="s">
        <v>178</v>
      </c>
      <c r="D20" s="22" t="s">
        <v>47</v>
      </c>
      <c r="E20" s="136">
        <f>'MEMÓRIA QUANTITATIVOS LOT 01'!E19</f>
        <v>1362.3200000000002</v>
      </c>
      <c r="F20" s="55">
        <f t="shared" ref="F20:F26" si="17">ROUND(L20,2)</f>
        <v>19.350000000000001</v>
      </c>
      <c r="G20" s="55">
        <f t="shared" ref="G20:G26" si="18">ROUND(M20,2)</f>
        <v>4.84</v>
      </c>
      <c r="H20" s="55">
        <f t="shared" ref="H20:H26" si="19">E20*F20</f>
        <v>26360.892000000003</v>
      </c>
      <c r="I20" s="55">
        <f t="shared" ref="I20:I26" si="20">E20*G20</f>
        <v>6593.6288000000004</v>
      </c>
      <c r="J20" s="55">
        <f t="shared" ref="J20:J26" si="21">I20+H20</f>
        <v>32954.520800000006</v>
      </c>
      <c r="K20" s="56">
        <f t="shared" si="5"/>
        <v>24.19</v>
      </c>
      <c r="L20" s="53">
        <f t="shared" si="14"/>
        <v>19.352448000000003</v>
      </c>
      <c r="M20" s="53">
        <f t="shared" si="15"/>
        <v>4.8381120000000006</v>
      </c>
      <c r="N20" s="53">
        <v>19.260000000000002</v>
      </c>
      <c r="O20" s="58">
        <f t="shared" si="16"/>
        <v>24.190560000000001</v>
      </c>
      <c r="P20" s="60" t="s">
        <v>406</v>
      </c>
      <c r="Q20" s="53"/>
      <c r="R20" s="53"/>
      <c r="S20" s="53"/>
      <c r="T20" s="53"/>
      <c r="U20" s="53"/>
      <c r="V20" s="53"/>
      <c r="W20" s="53"/>
      <c r="X20" s="53"/>
      <c r="Y20" s="53"/>
      <c r="Z20" s="53"/>
      <c r="AA20" s="53"/>
      <c r="AB20" s="53"/>
      <c r="AC20" s="53"/>
      <c r="AD20" s="53"/>
      <c r="AE20" s="53"/>
    </row>
    <row r="21" spans="1:31" ht="18.75">
      <c r="A21" s="22" t="s">
        <v>49</v>
      </c>
      <c r="B21" s="22" t="s">
        <v>180</v>
      </c>
      <c r="C21" s="22" t="s">
        <v>181</v>
      </c>
      <c r="D21" s="22" t="s">
        <v>47</v>
      </c>
      <c r="E21" s="136">
        <f>'MEMÓRIA QUANTITATIVOS LOT 01'!E20</f>
        <v>1771.0160000000003</v>
      </c>
      <c r="F21" s="55">
        <f t="shared" si="17"/>
        <v>0.92</v>
      </c>
      <c r="G21" s="55">
        <f t="shared" si="18"/>
        <v>0.23</v>
      </c>
      <c r="H21" s="55">
        <f t="shared" si="19"/>
        <v>1629.3347200000003</v>
      </c>
      <c r="I21" s="55">
        <f t="shared" si="20"/>
        <v>407.33368000000007</v>
      </c>
      <c r="J21" s="55">
        <f t="shared" si="21"/>
        <v>2036.6684000000005</v>
      </c>
      <c r="K21" s="56">
        <f t="shared" si="5"/>
        <v>1.1500000000000001</v>
      </c>
      <c r="L21" s="53">
        <f t="shared" si="14"/>
        <v>0.92441600000000013</v>
      </c>
      <c r="M21" s="53">
        <f t="shared" si="15"/>
        <v>0.23110400000000003</v>
      </c>
      <c r="N21" s="53">
        <v>0.92</v>
      </c>
      <c r="O21" s="58">
        <f t="shared" si="16"/>
        <v>1.1555200000000001</v>
      </c>
      <c r="P21" s="60" t="s">
        <v>407</v>
      </c>
      <c r="Q21" s="53"/>
      <c r="R21" s="53"/>
      <c r="S21" s="53"/>
      <c r="T21" s="53"/>
      <c r="U21" s="53"/>
      <c r="V21" s="53"/>
      <c r="W21" s="53"/>
      <c r="X21" s="53"/>
      <c r="Y21" s="53"/>
      <c r="Z21" s="53"/>
      <c r="AA21" s="53"/>
      <c r="AB21" s="53"/>
      <c r="AC21" s="53"/>
      <c r="AD21" s="53"/>
      <c r="AE21" s="53"/>
    </row>
    <row r="22" spans="1:31" ht="25.5">
      <c r="A22" s="22" t="s">
        <v>54</v>
      </c>
      <c r="B22" s="22" t="s">
        <v>183</v>
      </c>
      <c r="C22" s="22" t="s">
        <v>184</v>
      </c>
      <c r="D22" s="22" t="s">
        <v>47</v>
      </c>
      <c r="E22" s="136">
        <f>'MEMÓRIA QUANTITATIVOS LOT 01'!E21</f>
        <v>620.31549999999993</v>
      </c>
      <c r="F22" s="55">
        <f t="shared" si="17"/>
        <v>67.34</v>
      </c>
      <c r="G22" s="55">
        <f t="shared" si="18"/>
        <v>16.84</v>
      </c>
      <c r="H22" s="55">
        <f t="shared" si="19"/>
        <v>41772.045769999997</v>
      </c>
      <c r="I22" s="55">
        <f t="shared" si="20"/>
        <v>10446.113019999999</v>
      </c>
      <c r="J22" s="55">
        <f t="shared" si="21"/>
        <v>52218.158789999994</v>
      </c>
      <c r="K22" s="56">
        <f t="shared" si="5"/>
        <v>84.18</v>
      </c>
      <c r="L22" s="53">
        <f t="shared" si="14"/>
        <v>67.341695999999999</v>
      </c>
      <c r="M22" s="53">
        <f t="shared" si="15"/>
        <v>16.835424</v>
      </c>
      <c r="N22" s="62">
        <v>67.02</v>
      </c>
      <c r="O22" s="58">
        <f t="shared" si="16"/>
        <v>84.177120000000002</v>
      </c>
      <c r="P22" s="139" t="s">
        <v>408</v>
      </c>
      <c r="Q22" s="63"/>
      <c r="R22" s="63"/>
      <c r="S22" s="63"/>
      <c r="T22" s="63"/>
      <c r="U22" s="63"/>
      <c r="V22" s="63"/>
      <c r="W22" s="63"/>
      <c r="X22" s="63"/>
      <c r="Y22" s="63"/>
      <c r="Z22" s="63"/>
      <c r="AA22" s="63"/>
      <c r="AB22" s="63"/>
      <c r="AC22" s="63"/>
      <c r="AD22" s="63"/>
      <c r="AE22" s="63"/>
    </row>
    <row r="23" spans="1:31" ht="25.5">
      <c r="A23" s="22" t="s">
        <v>58</v>
      </c>
      <c r="B23" s="22" t="s">
        <v>186</v>
      </c>
      <c r="C23" s="22" t="s">
        <v>187</v>
      </c>
      <c r="D23" s="22" t="s">
        <v>47</v>
      </c>
      <c r="E23" s="136">
        <f>'MEMÓRIA QUANTITATIVOS LOT 01'!E22</f>
        <v>806.41014999999993</v>
      </c>
      <c r="F23" s="55">
        <f t="shared" si="17"/>
        <v>17.940000000000001</v>
      </c>
      <c r="G23" s="55">
        <f t="shared" si="18"/>
        <v>4.4800000000000004</v>
      </c>
      <c r="H23" s="55">
        <f t="shared" si="19"/>
        <v>14466.998090999999</v>
      </c>
      <c r="I23" s="55">
        <f t="shared" si="20"/>
        <v>3612.7174719999998</v>
      </c>
      <c r="J23" s="55">
        <f t="shared" si="21"/>
        <v>18079.715562999998</v>
      </c>
      <c r="K23" s="56">
        <f t="shared" si="5"/>
        <v>22.42</v>
      </c>
      <c r="L23" s="53">
        <f t="shared" si="14"/>
        <v>17.935680000000001</v>
      </c>
      <c r="M23" s="53">
        <f t="shared" si="15"/>
        <v>4.4839200000000003</v>
      </c>
      <c r="N23" s="62">
        <f>1.19*15</f>
        <v>17.849999999999998</v>
      </c>
      <c r="O23" s="58">
        <f t="shared" si="16"/>
        <v>22.419599999999999</v>
      </c>
      <c r="P23" s="139" t="s">
        <v>409</v>
      </c>
      <c r="Q23" s="63"/>
      <c r="R23" s="63"/>
      <c r="S23" s="63"/>
      <c r="T23" s="63"/>
      <c r="U23" s="63"/>
      <c r="V23" s="63"/>
      <c r="W23" s="63"/>
      <c r="X23" s="63"/>
      <c r="Y23" s="63"/>
      <c r="Z23" s="63"/>
      <c r="AA23" s="63"/>
      <c r="AB23" s="63"/>
      <c r="AC23" s="63"/>
      <c r="AD23" s="63"/>
      <c r="AE23" s="63"/>
    </row>
    <row r="24" spans="1:31" ht="25.5">
      <c r="A24" s="22" t="s">
        <v>61</v>
      </c>
      <c r="B24" s="22" t="s">
        <v>188</v>
      </c>
      <c r="C24" s="22" t="s">
        <v>189</v>
      </c>
      <c r="D24" s="22" t="s">
        <v>47</v>
      </c>
      <c r="E24" s="136">
        <f>'MEMÓRIA QUANTITATIVOS LOT 01'!E23</f>
        <v>806.41014999999993</v>
      </c>
      <c r="F24" s="55">
        <f t="shared" si="17"/>
        <v>1.1599999999999999</v>
      </c>
      <c r="G24" s="55">
        <f t="shared" si="18"/>
        <v>0.28999999999999998</v>
      </c>
      <c r="H24" s="55">
        <f t="shared" si="19"/>
        <v>935.43577399999981</v>
      </c>
      <c r="I24" s="55">
        <f t="shared" si="20"/>
        <v>233.85894349999995</v>
      </c>
      <c r="J24" s="55">
        <f t="shared" si="21"/>
        <v>1169.2947174999997</v>
      </c>
      <c r="K24" s="56">
        <f t="shared" si="5"/>
        <v>1.45</v>
      </c>
      <c r="L24" s="53">
        <f t="shared" si="14"/>
        <v>1.160544</v>
      </c>
      <c r="M24" s="53">
        <f t="shared" si="15"/>
        <v>0.29013600000000001</v>
      </c>
      <c r="N24" s="62">
        <f>0.77*1.5</f>
        <v>1.155</v>
      </c>
      <c r="O24" s="58">
        <f t="shared" si="16"/>
        <v>1.45068</v>
      </c>
      <c r="P24" s="139" t="s">
        <v>410</v>
      </c>
      <c r="Q24" s="63"/>
      <c r="R24" s="63"/>
      <c r="S24" s="63"/>
      <c r="T24" s="63"/>
      <c r="U24" s="63"/>
      <c r="V24" s="63"/>
      <c r="W24" s="63"/>
      <c r="X24" s="63"/>
      <c r="Y24" s="63"/>
      <c r="Z24" s="63"/>
      <c r="AA24" s="63"/>
      <c r="AB24" s="63"/>
      <c r="AC24" s="63"/>
      <c r="AD24" s="63"/>
      <c r="AE24" s="63"/>
    </row>
    <row r="25" spans="1:31" ht="38.25" customHeight="1">
      <c r="A25" s="22" t="s">
        <v>65</v>
      </c>
      <c r="B25" s="22" t="s">
        <v>190</v>
      </c>
      <c r="C25" s="22" t="s">
        <v>191</v>
      </c>
      <c r="D25" s="22" t="s">
        <v>47</v>
      </c>
      <c r="E25" s="136">
        <f>'MEMÓRIA QUANTITATIVOS LOT 01'!E24</f>
        <v>850.2</v>
      </c>
      <c r="F25" s="55">
        <f t="shared" si="17"/>
        <v>24.23</v>
      </c>
      <c r="G25" s="55">
        <f t="shared" si="18"/>
        <v>6.06</v>
      </c>
      <c r="H25" s="55">
        <f t="shared" si="19"/>
        <v>20600.346000000001</v>
      </c>
      <c r="I25" s="55">
        <f t="shared" si="20"/>
        <v>5152.2119999999995</v>
      </c>
      <c r="J25" s="55">
        <f t="shared" si="21"/>
        <v>25752.558000000001</v>
      </c>
      <c r="K25" s="56">
        <f t="shared" si="5"/>
        <v>30.29</v>
      </c>
      <c r="L25" s="53">
        <f t="shared" si="14"/>
        <v>24.225728000000004</v>
      </c>
      <c r="M25" s="53">
        <f t="shared" si="15"/>
        <v>6.0564320000000009</v>
      </c>
      <c r="N25" s="62">
        <f>15.3+5.24+1.19*3</f>
        <v>24.11</v>
      </c>
      <c r="O25" s="58">
        <f t="shared" si="16"/>
        <v>30.282160000000001</v>
      </c>
      <c r="P25" s="64" t="s">
        <v>411</v>
      </c>
      <c r="Q25" s="63"/>
      <c r="R25" s="63"/>
      <c r="S25" s="63"/>
      <c r="T25" s="63"/>
      <c r="U25" s="63"/>
      <c r="V25" s="63"/>
      <c r="W25" s="63"/>
      <c r="X25" s="63"/>
      <c r="Y25" s="63"/>
      <c r="Z25" s="63"/>
      <c r="AA25" s="63"/>
      <c r="AB25" s="63"/>
      <c r="AC25" s="63"/>
      <c r="AD25" s="63"/>
      <c r="AE25" s="63"/>
    </row>
    <row r="26" spans="1:31" ht="18.75">
      <c r="A26" s="22" t="s">
        <v>68</v>
      </c>
      <c r="B26" s="22" t="s">
        <v>193</v>
      </c>
      <c r="C26" s="22" t="s">
        <v>194</v>
      </c>
      <c r="D26" s="22" t="s">
        <v>41</v>
      </c>
      <c r="E26" s="136">
        <f>'MEMÓRIA QUANTITATIVOS LOT 01'!E25</f>
        <v>2503.96</v>
      </c>
      <c r="F26" s="55">
        <f t="shared" si="17"/>
        <v>1.28</v>
      </c>
      <c r="G26" s="55">
        <f t="shared" si="18"/>
        <v>0.32</v>
      </c>
      <c r="H26" s="55">
        <f t="shared" si="19"/>
        <v>3205.0688</v>
      </c>
      <c r="I26" s="55">
        <f t="shared" si="20"/>
        <v>801.2672</v>
      </c>
      <c r="J26" s="55">
        <f t="shared" si="21"/>
        <v>4006.3360000000002</v>
      </c>
      <c r="K26" s="56">
        <f t="shared" si="5"/>
        <v>1.6</v>
      </c>
      <c r="L26" s="53">
        <f t="shared" si="14"/>
        <v>1.2760960000000001</v>
      </c>
      <c r="M26" s="53">
        <f t="shared" si="15"/>
        <v>0.31902400000000003</v>
      </c>
      <c r="N26" s="62">
        <v>1.27</v>
      </c>
      <c r="O26" s="58">
        <f t="shared" si="16"/>
        <v>1.5951200000000001</v>
      </c>
      <c r="P26" s="63" t="s">
        <v>412</v>
      </c>
      <c r="Q26" s="63"/>
      <c r="R26" s="63"/>
      <c r="S26" s="63"/>
      <c r="T26" s="63"/>
      <c r="U26" s="63"/>
      <c r="V26" s="63"/>
      <c r="W26" s="63"/>
      <c r="X26" s="63"/>
      <c r="Y26" s="63"/>
      <c r="Z26" s="63"/>
      <c r="AA26" s="63"/>
      <c r="AB26" s="63"/>
      <c r="AC26" s="63"/>
      <c r="AD26" s="63"/>
      <c r="AE26" s="63"/>
    </row>
    <row r="27" spans="1:31" ht="18.75">
      <c r="A27" s="18">
        <v>4</v>
      </c>
      <c r="B27" s="18"/>
      <c r="C27" s="18" t="s">
        <v>196</v>
      </c>
      <c r="D27" s="18"/>
      <c r="E27" s="136">
        <f>'MEMÓRIA QUANTITATIVOS LOT 01'!E26</f>
        <v>0</v>
      </c>
      <c r="F27" s="138"/>
      <c r="G27" s="138"/>
      <c r="H27" s="138"/>
      <c r="I27" s="138"/>
      <c r="J27" s="138"/>
      <c r="K27" s="56"/>
      <c r="L27" s="53"/>
      <c r="M27" s="53"/>
      <c r="N27" s="62"/>
      <c r="O27" s="58"/>
      <c r="P27" s="63"/>
      <c r="Q27" s="63"/>
      <c r="R27" s="63"/>
      <c r="S27" s="63"/>
      <c r="T27" s="63"/>
      <c r="U27" s="63"/>
      <c r="V27" s="63"/>
      <c r="W27" s="63"/>
      <c r="X27" s="63"/>
      <c r="Y27" s="63"/>
      <c r="Z27" s="63"/>
      <c r="AA27" s="63"/>
      <c r="AB27" s="63"/>
      <c r="AC27" s="63"/>
      <c r="AD27" s="63"/>
      <c r="AE27" s="63"/>
    </row>
    <row r="28" spans="1:31" ht="18.75">
      <c r="A28" s="23" t="s">
        <v>81</v>
      </c>
      <c r="B28" s="22" t="s">
        <v>197</v>
      </c>
      <c r="C28" s="22" t="s">
        <v>198</v>
      </c>
      <c r="D28" s="22" t="s">
        <v>47</v>
      </c>
      <c r="E28" s="136">
        <f>'MEMÓRIA QUANTITATIVOS LOT 01'!E27</f>
        <v>0</v>
      </c>
      <c r="F28" s="55">
        <f t="shared" ref="F28:F36" si="22">ROUND(L28,2)</f>
        <v>4.41</v>
      </c>
      <c r="G28" s="55">
        <f t="shared" ref="G28:G36" si="23">ROUND(M28,2)</f>
        <v>1.1000000000000001</v>
      </c>
      <c r="H28" s="55">
        <f t="shared" ref="H28:H36" si="24">E28*F28</f>
        <v>0</v>
      </c>
      <c r="I28" s="55">
        <f t="shared" ref="I28:I36" si="25">E28*G28</f>
        <v>0</v>
      </c>
      <c r="J28" s="55">
        <f t="shared" ref="J28:J36" si="26">I28+H28</f>
        <v>0</v>
      </c>
      <c r="K28" s="56">
        <f t="shared" ref="K28:K60" si="27">F28+G28</f>
        <v>5.51</v>
      </c>
      <c r="L28" s="53">
        <f t="shared" ref="L28:L60" si="28">O28*0.8</f>
        <v>4.4110719999999999</v>
      </c>
      <c r="M28" s="53">
        <f t="shared" ref="M28:M60" si="29">O28*0.2</f>
        <v>1.102768</v>
      </c>
      <c r="N28" s="62">
        <v>4.3899999999999997</v>
      </c>
      <c r="O28" s="58">
        <f t="shared" ref="O28:O36" si="30">N28*1.256</f>
        <v>5.5138399999999992</v>
      </c>
      <c r="P28" s="139" t="s">
        <v>413</v>
      </c>
      <c r="Q28" s="63"/>
      <c r="R28" s="63"/>
      <c r="S28" s="63"/>
      <c r="T28" s="63"/>
      <c r="U28" s="63"/>
      <c r="V28" s="63"/>
      <c r="W28" s="63"/>
      <c r="X28" s="63"/>
      <c r="Y28" s="63"/>
      <c r="Z28" s="63"/>
      <c r="AA28" s="63"/>
      <c r="AB28" s="63"/>
      <c r="AC28" s="63"/>
      <c r="AD28" s="63"/>
      <c r="AE28" s="63"/>
    </row>
    <row r="29" spans="1:31" ht="25.5">
      <c r="A29" s="23" t="s">
        <v>199</v>
      </c>
      <c r="B29" s="22" t="s">
        <v>186</v>
      </c>
      <c r="C29" s="22" t="s">
        <v>200</v>
      </c>
      <c r="D29" s="22" t="s">
        <v>47</v>
      </c>
      <c r="E29" s="136">
        <f>'MEMÓRIA QUANTITATIVOS LOT 01'!E28</f>
        <v>0</v>
      </c>
      <c r="F29" s="55">
        <f t="shared" si="22"/>
        <v>5.98</v>
      </c>
      <c r="G29" s="55">
        <f t="shared" si="23"/>
        <v>1.49</v>
      </c>
      <c r="H29" s="55">
        <f t="shared" si="24"/>
        <v>0</v>
      </c>
      <c r="I29" s="55">
        <f t="shared" si="25"/>
        <v>0</v>
      </c>
      <c r="J29" s="55">
        <f t="shared" si="26"/>
        <v>0</v>
      </c>
      <c r="K29" s="56">
        <f t="shared" si="27"/>
        <v>7.4700000000000006</v>
      </c>
      <c r="L29" s="53">
        <f t="shared" si="28"/>
        <v>5.9785599999999999</v>
      </c>
      <c r="M29" s="53">
        <f t="shared" si="29"/>
        <v>1.49464</v>
      </c>
      <c r="N29" s="62">
        <f>1.19*5</f>
        <v>5.9499999999999993</v>
      </c>
      <c r="O29" s="58">
        <f t="shared" si="30"/>
        <v>7.4731999999999994</v>
      </c>
      <c r="P29" s="139" t="s">
        <v>409</v>
      </c>
      <c r="Q29" s="63"/>
      <c r="R29" s="63"/>
      <c r="S29" s="63"/>
      <c r="T29" s="63"/>
      <c r="U29" s="63"/>
      <c r="V29" s="63"/>
      <c r="W29" s="63"/>
      <c r="X29" s="63"/>
      <c r="Y29" s="63"/>
      <c r="Z29" s="63"/>
      <c r="AA29" s="63"/>
      <c r="AB29" s="63"/>
      <c r="AC29" s="63"/>
      <c r="AD29" s="63"/>
      <c r="AE29" s="63"/>
    </row>
    <row r="30" spans="1:31" ht="25.5">
      <c r="A30" s="23" t="s">
        <v>201</v>
      </c>
      <c r="B30" s="22" t="s">
        <v>183</v>
      </c>
      <c r="C30" s="22" t="s">
        <v>202</v>
      </c>
      <c r="D30" s="22" t="s">
        <v>47</v>
      </c>
      <c r="E30" s="136">
        <f>'MEMÓRIA QUANTITATIVOS LOT 01'!E29</f>
        <v>0</v>
      </c>
      <c r="F30" s="55">
        <f t="shared" si="22"/>
        <v>67.34</v>
      </c>
      <c r="G30" s="55">
        <f t="shared" si="23"/>
        <v>16.84</v>
      </c>
      <c r="H30" s="55">
        <f t="shared" si="24"/>
        <v>0</v>
      </c>
      <c r="I30" s="55">
        <f t="shared" si="25"/>
        <v>0</v>
      </c>
      <c r="J30" s="55">
        <f t="shared" si="26"/>
        <v>0</v>
      </c>
      <c r="K30" s="56">
        <f t="shared" si="27"/>
        <v>84.18</v>
      </c>
      <c r="L30" s="53">
        <f t="shared" si="28"/>
        <v>67.341695999999999</v>
      </c>
      <c r="M30" s="53">
        <f t="shared" si="29"/>
        <v>16.835424</v>
      </c>
      <c r="N30" s="62">
        <v>67.02</v>
      </c>
      <c r="O30" s="58">
        <f t="shared" si="30"/>
        <v>84.177120000000002</v>
      </c>
      <c r="P30" s="139" t="s">
        <v>408</v>
      </c>
      <c r="Q30" s="63"/>
      <c r="R30" s="63"/>
      <c r="S30" s="63"/>
      <c r="T30" s="63"/>
      <c r="U30" s="63"/>
      <c r="V30" s="63"/>
      <c r="W30" s="63"/>
      <c r="X30" s="63"/>
      <c r="Y30" s="63"/>
      <c r="Z30" s="63"/>
      <c r="AA30" s="63"/>
      <c r="AB30" s="63"/>
      <c r="AC30" s="63"/>
      <c r="AD30" s="63"/>
      <c r="AE30" s="63"/>
    </row>
    <row r="31" spans="1:31" ht="25.5">
      <c r="A31" s="23" t="s">
        <v>203</v>
      </c>
      <c r="B31" s="22" t="s">
        <v>186</v>
      </c>
      <c r="C31" s="22" t="s">
        <v>204</v>
      </c>
      <c r="D31" s="22" t="s">
        <v>47</v>
      </c>
      <c r="E31" s="136">
        <f>'MEMÓRIA QUANTITATIVOS LOT 01'!E30</f>
        <v>0</v>
      </c>
      <c r="F31" s="55">
        <f t="shared" si="22"/>
        <v>17.940000000000001</v>
      </c>
      <c r="G31" s="55">
        <f t="shared" si="23"/>
        <v>4.4800000000000004</v>
      </c>
      <c r="H31" s="55">
        <f t="shared" si="24"/>
        <v>0</v>
      </c>
      <c r="I31" s="55">
        <f t="shared" si="25"/>
        <v>0</v>
      </c>
      <c r="J31" s="55">
        <f t="shared" si="26"/>
        <v>0</v>
      </c>
      <c r="K31" s="56">
        <f t="shared" si="27"/>
        <v>22.42</v>
      </c>
      <c r="L31" s="53">
        <f t="shared" si="28"/>
        <v>17.935680000000001</v>
      </c>
      <c r="M31" s="53">
        <f t="shared" si="29"/>
        <v>4.4839200000000003</v>
      </c>
      <c r="N31" s="62">
        <f>15*1.19</f>
        <v>17.849999999999998</v>
      </c>
      <c r="O31" s="58">
        <f t="shared" si="30"/>
        <v>22.419599999999999</v>
      </c>
      <c r="P31" s="139" t="s">
        <v>409</v>
      </c>
      <c r="Q31" s="63"/>
      <c r="R31" s="63"/>
      <c r="S31" s="63"/>
      <c r="T31" s="63"/>
      <c r="U31" s="63"/>
      <c r="V31" s="63"/>
      <c r="W31" s="63"/>
      <c r="X31" s="63"/>
      <c r="Y31" s="63"/>
      <c r="Z31" s="63"/>
      <c r="AA31" s="63"/>
      <c r="AB31" s="63"/>
      <c r="AC31" s="63"/>
      <c r="AD31" s="63"/>
      <c r="AE31" s="63"/>
    </row>
    <row r="32" spans="1:31" ht="25.5">
      <c r="A32" s="23" t="s">
        <v>205</v>
      </c>
      <c r="B32" s="22" t="s">
        <v>188</v>
      </c>
      <c r="C32" s="22" t="s">
        <v>206</v>
      </c>
      <c r="D32" s="22" t="s">
        <v>47</v>
      </c>
      <c r="E32" s="136">
        <f>'MEMÓRIA QUANTITATIVOS LOT 01'!E31</f>
        <v>0</v>
      </c>
      <c r="F32" s="55">
        <f t="shared" si="22"/>
        <v>1.1599999999999999</v>
      </c>
      <c r="G32" s="55">
        <f t="shared" si="23"/>
        <v>0.28999999999999998</v>
      </c>
      <c r="H32" s="55">
        <f t="shared" si="24"/>
        <v>0</v>
      </c>
      <c r="I32" s="55">
        <f t="shared" si="25"/>
        <v>0</v>
      </c>
      <c r="J32" s="55">
        <f t="shared" si="26"/>
        <v>0</v>
      </c>
      <c r="K32" s="56">
        <f t="shared" si="27"/>
        <v>1.45</v>
      </c>
      <c r="L32" s="53">
        <f t="shared" si="28"/>
        <v>1.160544</v>
      </c>
      <c r="M32" s="53">
        <f t="shared" si="29"/>
        <v>0.29013600000000001</v>
      </c>
      <c r="N32" s="62">
        <f>1.5*0.77</f>
        <v>1.155</v>
      </c>
      <c r="O32" s="58">
        <f t="shared" si="30"/>
        <v>1.45068</v>
      </c>
      <c r="P32" s="139" t="s">
        <v>410</v>
      </c>
      <c r="Q32" s="63"/>
      <c r="R32" s="63"/>
      <c r="S32" s="63"/>
      <c r="T32" s="63"/>
      <c r="U32" s="63"/>
      <c r="V32" s="63"/>
      <c r="W32" s="63"/>
      <c r="X32" s="63"/>
      <c r="Y32" s="63"/>
      <c r="Z32" s="63"/>
      <c r="AA32" s="63"/>
      <c r="AB32" s="63"/>
      <c r="AC32" s="63"/>
      <c r="AD32" s="63"/>
      <c r="AE32" s="63"/>
    </row>
    <row r="33" spans="1:31" ht="27.75" customHeight="1">
      <c r="A33" s="23" t="s">
        <v>207</v>
      </c>
      <c r="B33" s="22" t="s">
        <v>208</v>
      </c>
      <c r="C33" s="22" t="s">
        <v>209</v>
      </c>
      <c r="D33" s="22" t="s">
        <v>47</v>
      </c>
      <c r="E33" s="136">
        <f>'MEMÓRIA QUANTITATIVOS LOT 01'!E32</f>
        <v>0</v>
      </c>
      <c r="F33" s="55">
        <f t="shared" si="22"/>
        <v>483.15</v>
      </c>
      <c r="G33" s="55">
        <f t="shared" si="23"/>
        <v>120.79</v>
      </c>
      <c r="H33" s="55">
        <f t="shared" si="24"/>
        <v>0</v>
      </c>
      <c r="I33" s="55">
        <f t="shared" si="25"/>
        <v>0</v>
      </c>
      <c r="J33" s="55">
        <f t="shared" si="26"/>
        <v>0</v>
      </c>
      <c r="K33" s="56">
        <f t="shared" si="27"/>
        <v>603.93999999999994</v>
      </c>
      <c r="L33" s="53">
        <f t="shared" si="28"/>
        <v>483.148032</v>
      </c>
      <c r="M33" s="53">
        <f t="shared" si="29"/>
        <v>120.787008</v>
      </c>
      <c r="N33" s="62">
        <v>480.84</v>
      </c>
      <c r="O33" s="58">
        <f t="shared" si="30"/>
        <v>603.93503999999996</v>
      </c>
      <c r="P33" s="139" t="s">
        <v>414</v>
      </c>
      <c r="Q33" s="63"/>
      <c r="R33" s="63"/>
      <c r="S33" s="63"/>
      <c r="T33" s="63"/>
      <c r="U33" s="63"/>
      <c r="V33" s="63"/>
      <c r="W33" s="63"/>
      <c r="X33" s="63"/>
      <c r="Y33" s="63"/>
      <c r="Z33" s="63"/>
      <c r="AA33" s="63"/>
      <c r="AB33" s="63"/>
      <c r="AC33" s="63"/>
      <c r="AD33" s="63"/>
      <c r="AE33" s="63"/>
    </row>
    <row r="34" spans="1:31" ht="25.5">
      <c r="A34" s="23" t="s">
        <v>210</v>
      </c>
      <c r="B34" s="22" t="s">
        <v>186</v>
      </c>
      <c r="C34" s="22" t="s">
        <v>211</v>
      </c>
      <c r="D34" s="22" t="s">
        <v>47</v>
      </c>
      <c r="E34" s="136">
        <f>'MEMÓRIA QUANTITATIVOS LOT 01'!E33</f>
        <v>0</v>
      </c>
      <c r="F34" s="55">
        <f t="shared" si="22"/>
        <v>17.940000000000001</v>
      </c>
      <c r="G34" s="55">
        <f t="shared" si="23"/>
        <v>4.4800000000000004</v>
      </c>
      <c r="H34" s="55">
        <f t="shared" si="24"/>
        <v>0</v>
      </c>
      <c r="I34" s="55">
        <f t="shared" si="25"/>
        <v>0</v>
      </c>
      <c r="J34" s="55">
        <f t="shared" si="26"/>
        <v>0</v>
      </c>
      <c r="K34" s="56">
        <f t="shared" si="27"/>
        <v>22.42</v>
      </c>
      <c r="L34" s="53">
        <f t="shared" si="28"/>
        <v>17.935680000000001</v>
      </c>
      <c r="M34" s="53">
        <f t="shared" si="29"/>
        <v>4.4839200000000003</v>
      </c>
      <c r="N34" s="62">
        <f>1.19*15</f>
        <v>17.849999999999998</v>
      </c>
      <c r="O34" s="58">
        <f t="shared" si="30"/>
        <v>22.419599999999999</v>
      </c>
      <c r="P34" s="139" t="s">
        <v>409</v>
      </c>
      <c r="Q34" s="63"/>
      <c r="R34" s="63"/>
      <c r="S34" s="63"/>
      <c r="T34" s="63"/>
      <c r="U34" s="63"/>
      <c r="V34" s="63"/>
      <c r="W34" s="63"/>
      <c r="X34" s="63"/>
      <c r="Y34" s="63"/>
      <c r="Z34" s="63"/>
      <c r="AA34" s="63"/>
      <c r="AB34" s="63"/>
      <c r="AC34" s="63"/>
      <c r="AD34" s="63"/>
      <c r="AE34" s="63"/>
    </row>
    <row r="35" spans="1:31" ht="25.5">
      <c r="A35" s="23" t="s">
        <v>212</v>
      </c>
      <c r="B35" s="22" t="s">
        <v>188</v>
      </c>
      <c r="C35" s="22" t="s">
        <v>213</v>
      </c>
      <c r="D35" s="22" t="s">
        <v>47</v>
      </c>
      <c r="E35" s="136">
        <f>'MEMÓRIA QUANTITATIVOS LOT 01'!E34</f>
        <v>0</v>
      </c>
      <c r="F35" s="55">
        <f t="shared" si="22"/>
        <v>1.1599999999999999</v>
      </c>
      <c r="G35" s="55">
        <f t="shared" si="23"/>
        <v>0.28999999999999998</v>
      </c>
      <c r="H35" s="55">
        <f t="shared" si="24"/>
        <v>0</v>
      </c>
      <c r="I35" s="55">
        <f t="shared" si="25"/>
        <v>0</v>
      </c>
      <c r="J35" s="55">
        <f t="shared" si="26"/>
        <v>0</v>
      </c>
      <c r="K35" s="56">
        <f t="shared" si="27"/>
        <v>1.45</v>
      </c>
      <c r="L35" s="53">
        <f t="shared" si="28"/>
        <v>1.160544</v>
      </c>
      <c r="M35" s="53">
        <f t="shared" si="29"/>
        <v>0.29013600000000001</v>
      </c>
      <c r="N35" s="62">
        <f>0.77*1.5</f>
        <v>1.155</v>
      </c>
      <c r="O35" s="58">
        <f t="shared" si="30"/>
        <v>1.45068</v>
      </c>
      <c r="P35" s="139" t="s">
        <v>410</v>
      </c>
      <c r="Q35" s="63"/>
      <c r="R35" s="63"/>
      <c r="S35" s="63"/>
      <c r="T35" s="63"/>
      <c r="U35" s="63"/>
      <c r="V35" s="63"/>
      <c r="W35" s="63"/>
      <c r="X35" s="63"/>
      <c r="Y35" s="63"/>
      <c r="Z35" s="63"/>
      <c r="AA35" s="63"/>
      <c r="AB35" s="63"/>
      <c r="AC35" s="63"/>
      <c r="AD35" s="63"/>
      <c r="AE35" s="63"/>
    </row>
    <row r="36" spans="1:31" ht="18.75">
      <c r="A36" s="23" t="s">
        <v>214</v>
      </c>
      <c r="B36" s="22" t="s">
        <v>215</v>
      </c>
      <c r="C36" s="22" t="s">
        <v>216</v>
      </c>
      <c r="D36" s="22" t="s">
        <v>41</v>
      </c>
      <c r="E36" s="136">
        <f>'MEMÓRIA QUANTITATIVOS LOT 01'!E35</f>
        <v>0</v>
      </c>
      <c r="F36" s="55">
        <f t="shared" si="22"/>
        <v>4.29</v>
      </c>
      <c r="G36" s="55">
        <f t="shared" si="23"/>
        <v>1.07</v>
      </c>
      <c r="H36" s="55">
        <f t="shared" si="24"/>
        <v>0</v>
      </c>
      <c r="I36" s="55">
        <f t="shared" si="25"/>
        <v>0</v>
      </c>
      <c r="J36" s="55">
        <f t="shared" si="26"/>
        <v>0</v>
      </c>
      <c r="K36" s="56">
        <f t="shared" si="27"/>
        <v>5.36</v>
      </c>
      <c r="L36" s="53">
        <f t="shared" si="28"/>
        <v>4.2904960000000001</v>
      </c>
      <c r="M36" s="53">
        <f t="shared" si="29"/>
        <v>1.072624</v>
      </c>
      <c r="N36" s="62">
        <v>4.2699999999999996</v>
      </c>
      <c r="O36" s="58">
        <f t="shared" si="30"/>
        <v>5.3631199999999994</v>
      </c>
      <c r="P36" s="63" t="s">
        <v>415</v>
      </c>
      <c r="Q36" s="63"/>
      <c r="R36" s="63"/>
      <c r="S36" s="63"/>
      <c r="T36" s="63"/>
      <c r="U36" s="63"/>
      <c r="V36" s="63"/>
      <c r="W36" s="63"/>
      <c r="X36" s="63"/>
      <c r="Y36" s="63"/>
      <c r="Z36" s="63"/>
      <c r="AA36" s="63"/>
      <c r="AB36" s="63"/>
      <c r="AC36" s="63"/>
      <c r="AD36" s="63"/>
      <c r="AE36" s="63"/>
    </row>
    <row r="37" spans="1:31" ht="18.75">
      <c r="A37" s="113">
        <v>5</v>
      </c>
      <c r="B37" s="18"/>
      <c r="C37" s="18" t="s">
        <v>217</v>
      </c>
      <c r="D37" s="18"/>
      <c r="E37" s="136">
        <f>'MEMÓRIA QUANTITATIVOS LOT 01'!E36</f>
        <v>0</v>
      </c>
      <c r="F37" s="138"/>
      <c r="G37" s="138"/>
      <c r="H37" s="138"/>
      <c r="I37" s="138"/>
      <c r="J37" s="138"/>
      <c r="K37" s="56">
        <f t="shared" si="27"/>
        <v>0</v>
      </c>
      <c r="L37" s="53">
        <f t="shared" si="28"/>
        <v>0</v>
      </c>
      <c r="M37" s="53">
        <f t="shared" si="29"/>
        <v>0</v>
      </c>
      <c r="N37" s="62"/>
      <c r="O37" s="58"/>
      <c r="P37" s="63"/>
      <c r="Q37" s="63"/>
      <c r="R37" s="63"/>
      <c r="S37" s="63"/>
      <c r="T37" s="63"/>
      <c r="U37" s="63"/>
      <c r="V37" s="63"/>
      <c r="W37" s="63"/>
      <c r="X37" s="63"/>
      <c r="Y37" s="63"/>
      <c r="Z37" s="63"/>
      <c r="AA37" s="63"/>
      <c r="AB37" s="63"/>
      <c r="AC37" s="63"/>
      <c r="AD37" s="63"/>
      <c r="AE37" s="63"/>
    </row>
    <row r="38" spans="1:31" ht="33" customHeight="1">
      <c r="A38" s="114" t="s">
        <v>218</v>
      </c>
      <c r="B38" s="22" t="s">
        <v>219</v>
      </c>
      <c r="C38" s="22" t="s">
        <v>220</v>
      </c>
      <c r="D38" s="22" t="s">
        <v>47</v>
      </c>
      <c r="E38" s="136">
        <f>'MEMÓRIA QUANTITATIVOS LOT 01'!E37</f>
        <v>143.39999999999998</v>
      </c>
      <c r="F38" s="55">
        <f t="shared" ref="F38:F60" si="31">ROUND(L38,2)</f>
        <v>4.8600000000000003</v>
      </c>
      <c r="G38" s="55">
        <f t="shared" ref="G38:G60" si="32">ROUND(M38,2)</f>
        <v>1.22</v>
      </c>
      <c r="H38" s="55">
        <f t="shared" ref="H38:H60" si="33">E38*F38</f>
        <v>696.92399999999998</v>
      </c>
      <c r="I38" s="55">
        <f t="shared" ref="I38:I60" si="34">E38*G38</f>
        <v>174.94799999999998</v>
      </c>
      <c r="J38" s="55">
        <f t="shared" ref="J38:J60" si="35">I38+H38</f>
        <v>871.87199999999996</v>
      </c>
      <c r="K38" s="56">
        <f t="shared" si="27"/>
        <v>6.08</v>
      </c>
      <c r="L38" s="53">
        <f t="shared" si="28"/>
        <v>4.863232</v>
      </c>
      <c r="M38" s="53">
        <f t="shared" si="29"/>
        <v>1.215808</v>
      </c>
      <c r="N38" s="62">
        <v>4.84</v>
      </c>
      <c r="O38" s="58">
        <f t="shared" ref="O38:O60" si="36">N38*1.256</f>
        <v>6.07904</v>
      </c>
      <c r="P38" s="139" t="s">
        <v>416</v>
      </c>
      <c r="Q38" s="63"/>
      <c r="R38" s="63"/>
      <c r="S38" s="63"/>
      <c r="T38" s="63"/>
      <c r="U38" s="63"/>
      <c r="V38" s="63"/>
      <c r="W38" s="63"/>
      <c r="X38" s="63"/>
      <c r="Y38" s="63"/>
      <c r="Z38" s="63"/>
      <c r="AA38" s="63"/>
      <c r="AB38" s="63"/>
      <c r="AC38" s="63"/>
      <c r="AD38" s="63"/>
      <c r="AE38" s="63"/>
    </row>
    <row r="39" spans="1:31" ht="23.25" customHeight="1">
      <c r="A39" s="114" t="s">
        <v>222</v>
      </c>
      <c r="B39" s="22" t="s">
        <v>223</v>
      </c>
      <c r="C39" s="22" t="s">
        <v>224</v>
      </c>
      <c r="D39" s="22" t="s">
        <v>47</v>
      </c>
      <c r="E39" s="136">
        <f>'MEMÓRIA QUANTITATIVOS LOT 01'!E38</f>
        <v>19.080000000000002</v>
      </c>
      <c r="F39" s="55">
        <f t="shared" si="31"/>
        <v>147.16</v>
      </c>
      <c r="G39" s="55">
        <f t="shared" si="32"/>
        <v>36.79</v>
      </c>
      <c r="H39" s="55">
        <f t="shared" si="33"/>
        <v>2807.8128000000002</v>
      </c>
      <c r="I39" s="55">
        <f t="shared" si="34"/>
        <v>701.95320000000004</v>
      </c>
      <c r="J39" s="55">
        <f t="shared" si="35"/>
        <v>3509.7660000000001</v>
      </c>
      <c r="K39" s="56">
        <f t="shared" si="27"/>
        <v>183.95</v>
      </c>
      <c r="L39" s="53">
        <f t="shared" si="28"/>
        <v>147.16300800000002</v>
      </c>
      <c r="M39" s="53">
        <f t="shared" si="29"/>
        <v>36.790752000000005</v>
      </c>
      <c r="N39" s="62">
        <v>146.46</v>
      </c>
      <c r="O39" s="58">
        <f t="shared" si="36"/>
        <v>183.95376000000002</v>
      </c>
      <c r="P39" s="139" t="s">
        <v>417</v>
      </c>
      <c r="Q39" s="63"/>
      <c r="R39" s="63"/>
      <c r="S39" s="63"/>
      <c r="T39" s="63"/>
      <c r="U39" s="63"/>
      <c r="V39" s="63"/>
      <c r="W39" s="63"/>
      <c r="X39" s="63"/>
      <c r="Y39" s="63"/>
      <c r="Z39" s="63"/>
      <c r="AA39" s="63"/>
      <c r="AB39" s="63"/>
      <c r="AC39" s="63"/>
      <c r="AD39" s="63"/>
      <c r="AE39" s="63"/>
    </row>
    <row r="40" spans="1:31" ht="25.5">
      <c r="A40" s="114" t="s">
        <v>226</v>
      </c>
      <c r="B40" s="22" t="s">
        <v>186</v>
      </c>
      <c r="C40" s="22" t="s">
        <v>227</v>
      </c>
      <c r="D40" s="22" t="s">
        <v>47</v>
      </c>
      <c r="E40" s="136">
        <f>'MEMÓRIA QUANTITATIVOS LOT 01'!E39</f>
        <v>24.804000000000002</v>
      </c>
      <c r="F40" s="55">
        <f t="shared" si="31"/>
        <v>17.940000000000001</v>
      </c>
      <c r="G40" s="55">
        <f t="shared" si="32"/>
        <v>4.4800000000000004</v>
      </c>
      <c r="H40" s="55">
        <f t="shared" si="33"/>
        <v>444.98376000000007</v>
      </c>
      <c r="I40" s="55">
        <f t="shared" si="34"/>
        <v>111.12192000000002</v>
      </c>
      <c r="J40" s="55">
        <f t="shared" si="35"/>
        <v>556.10568000000012</v>
      </c>
      <c r="K40" s="56">
        <f t="shared" si="27"/>
        <v>22.42</v>
      </c>
      <c r="L40" s="53">
        <f t="shared" si="28"/>
        <v>17.935680000000001</v>
      </c>
      <c r="M40" s="53">
        <f t="shared" si="29"/>
        <v>4.4839200000000003</v>
      </c>
      <c r="N40" s="62">
        <f>15*1.19</f>
        <v>17.849999999999998</v>
      </c>
      <c r="O40" s="58">
        <f t="shared" si="36"/>
        <v>22.419599999999999</v>
      </c>
      <c r="P40" s="139" t="s">
        <v>409</v>
      </c>
      <c r="Q40" s="63"/>
      <c r="R40" s="63"/>
      <c r="S40" s="63"/>
      <c r="T40" s="63"/>
      <c r="U40" s="63"/>
      <c r="V40" s="63"/>
      <c r="W40" s="63"/>
      <c r="X40" s="63"/>
      <c r="Y40" s="63"/>
      <c r="Z40" s="63"/>
      <c r="AA40" s="63"/>
      <c r="AB40" s="63"/>
      <c r="AC40" s="63"/>
      <c r="AD40" s="63"/>
      <c r="AE40" s="63"/>
    </row>
    <row r="41" spans="1:31" ht="25.5">
      <c r="A41" s="114" t="s">
        <v>229</v>
      </c>
      <c r="B41" s="22" t="s">
        <v>188</v>
      </c>
      <c r="C41" s="22" t="s">
        <v>230</v>
      </c>
      <c r="D41" s="22" t="s">
        <v>47</v>
      </c>
      <c r="E41" s="136">
        <f>'MEMÓRIA QUANTITATIVOS LOT 01'!E40</f>
        <v>24.804000000000002</v>
      </c>
      <c r="F41" s="55">
        <f t="shared" si="31"/>
        <v>1.1599999999999999</v>
      </c>
      <c r="G41" s="55">
        <f t="shared" si="32"/>
        <v>0.28999999999999998</v>
      </c>
      <c r="H41" s="55">
        <f t="shared" si="33"/>
        <v>28.772639999999999</v>
      </c>
      <c r="I41" s="55">
        <f t="shared" si="34"/>
        <v>7.1931599999999998</v>
      </c>
      <c r="J41" s="55">
        <f t="shared" si="35"/>
        <v>35.965800000000002</v>
      </c>
      <c r="K41" s="56">
        <f t="shared" si="27"/>
        <v>1.45</v>
      </c>
      <c r="L41" s="53">
        <f t="shared" si="28"/>
        <v>1.160544</v>
      </c>
      <c r="M41" s="53">
        <f t="shared" si="29"/>
        <v>0.29013600000000001</v>
      </c>
      <c r="N41" s="62">
        <f>1.5*0.77</f>
        <v>1.155</v>
      </c>
      <c r="O41" s="58">
        <f t="shared" si="36"/>
        <v>1.45068</v>
      </c>
      <c r="P41" s="139" t="s">
        <v>410</v>
      </c>
      <c r="Q41" s="63"/>
      <c r="R41" s="63"/>
      <c r="S41" s="63"/>
      <c r="T41" s="63"/>
      <c r="U41" s="63"/>
      <c r="V41" s="63"/>
      <c r="W41" s="63"/>
      <c r="X41" s="63"/>
      <c r="Y41" s="63"/>
      <c r="Z41" s="63"/>
      <c r="AA41" s="63"/>
      <c r="AB41" s="63"/>
      <c r="AC41" s="63"/>
      <c r="AD41" s="63"/>
      <c r="AE41" s="63"/>
    </row>
    <row r="42" spans="1:31" ht="27.75" customHeight="1">
      <c r="A42" s="114" t="s">
        <v>231</v>
      </c>
      <c r="B42" s="22" t="s">
        <v>232</v>
      </c>
      <c r="C42" s="22" t="s">
        <v>233</v>
      </c>
      <c r="D42" s="22" t="s">
        <v>47</v>
      </c>
      <c r="E42" s="136">
        <f>'MEMÓRIA QUANTITATIVOS LOT 01'!E41</f>
        <v>114.71999999999998</v>
      </c>
      <c r="F42" s="55">
        <f t="shared" si="31"/>
        <v>8.1199999999999992</v>
      </c>
      <c r="G42" s="55">
        <f t="shared" si="32"/>
        <v>2.0299999999999998</v>
      </c>
      <c r="H42" s="55">
        <f t="shared" si="33"/>
        <v>931.52639999999974</v>
      </c>
      <c r="I42" s="55">
        <f t="shared" si="34"/>
        <v>232.88159999999993</v>
      </c>
      <c r="J42" s="55">
        <f t="shared" si="35"/>
        <v>1164.4079999999997</v>
      </c>
      <c r="K42" s="56">
        <f t="shared" si="27"/>
        <v>10.149999999999999</v>
      </c>
      <c r="L42" s="53">
        <f t="shared" si="28"/>
        <v>8.1187839999999998</v>
      </c>
      <c r="M42" s="53">
        <f t="shared" si="29"/>
        <v>2.0296959999999999</v>
      </c>
      <c r="N42" s="62">
        <v>8.08</v>
      </c>
      <c r="O42" s="58">
        <f t="shared" si="36"/>
        <v>10.148479999999999</v>
      </c>
      <c r="P42" s="139" t="s">
        <v>418</v>
      </c>
      <c r="Q42" s="63"/>
      <c r="R42" s="63"/>
      <c r="S42" s="63"/>
      <c r="T42" s="63"/>
      <c r="U42" s="63"/>
      <c r="V42" s="63"/>
      <c r="W42" s="63"/>
      <c r="X42" s="63"/>
      <c r="Y42" s="63"/>
      <c r="Z42" s="63"/>
      <c r="AA42" s="63"/>
      <c r="AB42" s="63"/>
      <c r="AC42" s="63"/>
      <c r="AD42" s="63"/>
      <c r="AE42" s="63"/>
    </row>
    <row r="43" spans="1:31" ht="25.5">
      <c r="A43" s="114" t="s">
        <v>235</v>
      </c>
      <c r="B43" s="115" t="s">
        <v>186</v>
      </c>
      <c r="C43" s="22" t="s">
        <v>236</v>
      </c>
      <c r="D43" s="22" t="s">
        <v>47</v>
      </c>
      <c r="E43" s="136">
        <f>'MEMÓRIA QUANTITATIVOS LOT 01'!E42</f>
        <v>37.283999999999992</v>
      </c>
      <c r="F43" s="55">
        <f t="shared" si="31"/>
        <v>5.98</v>
      </c>
      <c r="G43" s="55">
        <f t="shared" si="32"/>
        <v>1.49</v>
      </c>
      <c r="H43" s="55">
        <f t="shared" si="33"/>
        <v>222.95831999999996</v>
      </c>
      <c r="I43" s="55">
        <f t="shared" si="34"/>
        <v>55.553159999999984</v>
      </c>
      <c r="J43" s="55">
        <f t="shared" si="35"/>
        <v>278.51147999999995</v>
      </c>
      <c r="K43" s="56">
        <f t="shared" si="27"/>
        <v>7.4700000000000006</v>
      </c>
      <c r="L43" s="53">
        <f t="shared" si="28"/>
        <v>5.9785599999999999</v>
      </c>
      <c r="M43" s="53">
        <f t="shared" si="29"/>
        <v>1.49464</v>
      </c>
      <c r="N43" s="62">
        <f>5*1.19</f>
        <v>5.9499999999999993</v>
      </c>
      <c r="O43" s="58">
        <f t="shared" si="36"/>
        <v>7.4731999999999994</v>
      </c>
      <c r="P43" s="139" t="s">
        <v>409</v>
      </c>
      <c r="Q43" s="63"/>
      <c r="R43" s="63"/>
      <c r="S43" s="63"/>
      <c r="T43" s="63"/>
      <c r="U43" s="63"/>
      <c r="V43" s="63"/>
      <c r="W43" s="63"/>
      <c r="X43" s="63"/>
      <c r="Y43" s="63"/>
      <c r="Z43" s="63"/>
      <c r="AA43" s="63"/>
      <c r="AB43" s="63"/>
      <c r="AC43" s="63"/>
      <c r="AD43" s="63"/>
      <c r="AE43" s="63"/>
    </row>
    <row r="44" spans="1:31" ht="25.5">
      <c r="A44" s="114" t="s">
        <v>238</v>
      </c>
      <c r="B44" s="22" t="s">
        <v>239</v>
      </c>
      <c r="C44" s="22" t="s">
        <v>240</v>
      </c>
      <c r="D44" s="22" t="s">
        <v>174</v>
      </c>
      <c r="E44" s="136">
        <f>'MEMÓRIA QUANTITATIVOS LOT 01'!E43</f>
        <v>10</v>
      </c>
      <c r="F44" s="55">
        <f t="shared" si="31"/>
        <v>30.9</v>
      </c>
      <c r="G44" s="55">
        <f t="shared" si="32"/>
        <v>7.72</v>
      </c>
      <c r="H44" s="55">
        <f t="shared" si="33"/>
        <v>309</v>
      </c>
      <c r="I44" s="55">
        <f t="shared" si="34"/>
        <v>77.2</v>
      </c>
      <c r="J44" s="55">
        <f t="shared" si="35"/>
        <v>386.2</v>
      </c>
      <c r="K44" s="56">
        <f t="shared" si="27"/>
        <v>38.619999999999997</v>
      </c>
      <c r="L44" s="53">
        <f t="shared" si="28"/>
        <v>30.897600000000001</v>
      </c>
      <c r="M44" s="53">
        <f t="shared" si="29"/>
        <v>7.7244000000000002</v>
      </c>
      <c r="N44" s="62">
        <v>30.75</v>
      </c>
      <c r="O44" s="58">
        <f t="shared" si="36"/>
        <v>38.622</v>
      </c>
      <c r="P44" s="139" t="s">
        <v>419</v>
      </c>
      <c r="Q44" s="63"/>
      <c r="R44" s="63"/>
      <c r="S44" s="63"/>
      <c r="T44" s="63"/>
      <c r="U44" s="63"/>
      <c r="V44" s="63"/>
      <c r="W44" s="63"/>
      <c r="X44" s="63"/>
      <c r="Y44" s="63"/>
      <c r="Z44" s="63"/>
      <c r="AA44" s="63"/>
      <c r="AB44" s="63"/>
      <c r="AC44" s="63"/>
      <c r="AD44" s="63"/>
      <c r="AE44" s="63"/>
    </row>
    <row r="45" spans="1:31" ht="25.5">
      <c r="A45" s="114" t="s">
        <v>241</v>
      </c>
      <c r="B45" s="22" t="s">
        <v>242</v>
      </c>
      <c r="C45" s="22" t="s">
        <v>243</v>
      </c>
      <c r="D45" s="22" t="s">
        <v>174</v>
      </c>
      <c r="E45" s="136">
        <f>'MEMÓRIA QUANTITATIVOS LOT 01'!E44</f>
        <v>26</v>
      </c>
      <c r="F45" s="55">
        <f t="shared" si="31"/>
        <v>40.549999999999997</v>
      </c>
      <c r="G45" s="55">
        <f t="shared" si="32"/>
        <v>10.14</v>
      </c>
      <c r="H45" s="55">
        <f t="shared" si="33"/>
        <v>1054.3</v>
      </c>
      <c r="I45" s="55">
        <f t="shared" si="34"/>
        <v>263.64</v>
      </c>
      <c r="J45" s="55">
        <f t="shared" si="35"/>
        <v>1317.94</v>
      </c>
      <c r="K45" s="56">
        <f t="shared" si="27"/>
        <v>50.69</v>
      </c>
      <c r="L45" s="53">
        <f t="shared" si="28"/>
        <v>40.553728000000007</v>
      </c>
      <c r="M45" s="53">
        <f t="shared" si="29"/>
        <v>10.138432000000002</v>
      </c>
      <c r="N45" s="62">
        <v>40.36</v>
      </c>
      <c r="O45" s="58">
        <f t="shared" si="36"/>
        <v>50.692160000000001</v>
      </c>
      <c r="P45" s="139" t="s">
        <v>420</v>
      </c>
      <c r="Q45" s="63"/>
      <c r="R45" s="63"/>
      <c r="S45" s="63"/>
      <c r="T45" s="63"/>
      <c r="U45" s="63"/>
      <c r="V45" s="63"/>
      <c r="W45" s="63"/>
      <c r="X45" s="63"/>
      <c r="Y45" s="63"/>
      <c r="Z45" s="63"/>
      <c r="AA45" s="63"/>
      <c r="AB45" s="63"/>
      <c r="AC45" s="63"/>
      <c r="AD45" s="63"/>
      <c r="AE45" s="63"/>
    </row>
    <row r="46" spans="1:31" ht="18.75">
      <c r="A46" s="114" t="s">
        <v>244</v>
      </c>
      <c r="B46" s="22" t="s">
        <v>245</v>
      </c>
      <c r="C46" s="22" t="s">
        <v>246</v>
      </c>
      <c r="D46" s="22" t="s">
        <v>174</v>
      </c>
      <c r="E46" s="136">
        <f>'MEMÓRIA QUANTITATIVOS LOT 01'!E45</f>
        <v>45</v>
      </c>
      <c r="F46" s="55">
        <f t="shared" si="31"/>
        <v>74.47</v>
      </c>
      <c r="G46" s="55">
        <f t="shared" si="32"/>
        <v>18.62</v>
      </c>
      <c r="H46" s="55">
        <f t="shared" si="33"/>
        <v>3351.15</v>
      </c>
      <c r="I46" s="55">
        <f t="shared" si="34"/>
        <v>837.90000000000009</v>
      </c>
      <c r="J46" s="55">
        <f t="shared" si="35"/>
        <v>4189.05</v>
      </c>
      <c r="K46" s="56">
        <f t="shared" si="27"/>
        <v>93.09</v>
      </c>
      <c r="L46" s="53">
        <f t="shared" si="28"/>
        <v>74.465727999999999</v>
      </c>
      <c r="M46" s="53">
        <f t="shared" si="29"/>
        <v>18.616432</v>
      </c>
      <c r="N46" s="62">
        <v>74.11</v>
      </c>
      <c r="O46" s="58">
        <f t="shared" si="36"/>
        <v>93.082160000000002</v>
      </c>
      <c r="P46" s="63" t="s">
        <v>421</v>
      </c>
      <c r="Q46" s="63"/>
      <c r="R46" s="63"/>
      <c r="S46" s="63"/>
      <c r="T46" s="63"/>
      <c r="U46" s="63"/>
      <c r="V46" s="63"/>
      <c r="W46" s="63"/>
      <c r="X46" s="63"/>
      <c r="Y46" s="63"/>
      <c r="Z46" s="63"/>
      <c r="AA46" s="63"/>
      <c r="AB46" s="63"/>
      <c r="AC46" s="63"/>
      <c r="AD46" s="63"/>
      <c r="AE46" s="63"/>
    </row>
    <row r="47" spans="1:31" ht="25.5">
      <c r="A47" s="114" t="s">
        <v>247</v>
      </c>
      <c r="B47" s="22" t="s">
        <v>248</v>
      </c>
      <c r="C47" s="22" t="s">
        <v>249</v>
      </c>
      <c r="D47" s="22" t="s">
        <v>174</v>
      </c>
      <c r="E47" s="136">
        <f>'MEMÓRIA QUANTITATIVOS LOT 01'!E46</f>
        <v>0</v>
      </c>
      <c r="F47" s="55">
        <f t="shared" si="31"/>
        <v>76.010000000000005</v>
      </c>
      <c r="G47" s="55">
        <f t="shared" si="32"/>
        <v>19</v>
      </c>
      <c r="H47" s="55">
        <f t="shared" si="33"/>
        <v>0</v>
      </c>
      <c r="I47" s="55">
        <f t="shared" si="34"/>
        <v>0</v>
      </c>
      <c r="J47" s="55">
        <f t="shared" si="35"/>
        <v>0</v>
      </c>
      <c r="K47" s="56">
        <f t="shared" si="27"/>
        <v>95.01</v>
      </c>
      <c r="L47" s="53">
        <f t="shared" si="28"/>
        <v>76.013120000000001</v>
      </c>
      <c r="M47" s="53">
        <f t="shared" si="29"/>
        <v>19.00328</v>
      </c>
      <c r="N47" s="62">
        <v>75.650000000000006</v>
      </c>
      <c r="O47" s="58">
        <f t="shared" si="36"/>
        <v>95.016400000000004</v>
      </c>
      <c r="P47" s="139" t="s">
        <v>422</v>
      </c>
      <c r="Q47" s="63"/>
      <c r="R47" s="63"/>
      <c r="S47" s="63"/>
      <c r="T47" s="63"/>
      <c r="U47" s="63"/>
      <c r="V47" s="63"/>
      <c r="W47" s="63"/>
      <c r="X47" s="63"/>
      <c r="Y47" s="63"/>
      <c r="Z47" s="63"/>
      <c r="AA47" s="63"/>
      <c r="AB47" s="63"/>
      <c r="AC47" s="63"/>
      <c r="AD47" s="63"/>
      <c r="AE47" s="63"/>
    </row>
    <row r="48" spans="1:31" ht="18.75">
      <c r="A48" s="114" t="s">
        <v>250</v>
      </c>
      <c r="B48" s="22" t="s">
        <v>251</v>
      </c>
      <c r="C48" s="22" t="s">
        <v>252</v>
      </c>
      <c r="D48" s="22" t="s">
        <v>174</v>
      </c>
      <c r="E48" s="136">
        <f>'MEMÓRIA QUANTITATIVOS LOT 01'!E47</f>
        <v>24</v>
      </c>
      <c r="F48" s="55">
        <f t="shared" si="31"/>
        <v>118.01</v>
      </c>
      <c r="G48" s="55">
        <f t="shared" si="32"/>
        <v>29.5</v>
      </c>
      <c r="H48" s="55">
        <f t="shared" si="33"/>
        <v>2832.2400000000002</v>
      </c>
      <c r="I48" s="55">
        <f t="shared" si="34"/>
        <v>708</v>
      </c>
      <c r="J48" s="55">
        <f t="shared" si="35"/>
        <v>3540.2400000000002</v>
      </c>
      <c r="K48" s="56">
        <f t="shared" si="27"/>
        <v>147.51</v>
      </c>
      <c r="L48" s="53">
        <f t="shared" si="28"/>
        <v>118.01376</v>
      </c>
      <c r="M48" s="53">
        <f t="shared" si="29"/>
        <v>29.503440000000001</v>
      </c>
      <c r="N48" s="62">
        <v>117.45</v>
      </c>
      <c r="O48" s="58">
        <f t="shared" si="36"/>
        <v>147.5172</v>
      </c>
      <c r="P48" s="139" t="s">
        <v>423</v>
      </c>
      <c r="Q48" s="63"/>
      <c r="R48" s="63"/>
      <c r="S48" s="63"/>
      <c r="T48" s="63"/>
      <c r="U48" s="63"/>
      <c r="V48" s="63"/>
      <c r="W48" s="63"/>
      <c r="X48" s="63"/>
      <c r="Y48" s="63"/>
      <c r="Z48" s="63"/>
      <c r="AA48" s="63"/>
      <c r="AB48" s="63"/>
      <c r="AC48" s="63"/>
      <c r="AD48" s="63"/>
      <c r="AE48" s="63"/>
    </row>
    <row r="49" spans="1:31" ht="18.75">
      <c r="A49" s="114" t="s">
        <v>253</v>
      </c>
      <c r="B49" s="22" t="s">
        <v>254</v>
      </c>
      <c r="C49" s="22" t="s">
        <v>255</v>
      </c>
      <c r="D49" s="22" t="s">
        <v>174</v>
      </c>
      <c r="E49" s="136">
        <f>'MEMÓRIA QUANTITATIVOS LOT 01'!E48</f>
        <v>0</v>
      </c>
      <c r="F49" s="55">
        <f t="shared" si="31"/>
        <v>202.81</v>
      </c>
      <c r="G49" s="55">
        <f t="shared" si="32"/>
        <v>50.7</v>
      </c>
      <c r="H49" s="55">
        <f t="shared" si="33"/>
        <v>0</v>
      </c>
      <c r="I49" s="55">
        <f t="shared" si="34"/>
        <v>0</v>
      </c>
      <c r="J49" s="55">
        <f t="shared" si="35"/>
        <v>0</v>
      </c>
      <c r="K49" s="56">
        <f t="shared" si="27"/>
        <v>253.51</v>
      </c>
      <c r="L49" s="53">
        <f t="shared" si="28"/>
        <v>202.80883200000002</v>
      </c>
      <c r="M49" s="53">
        <f t="shared" si="29"/>
        <v>50.702208000000006</v>
      </c>
      <c r="N49" s="62">
        <v>201.84</v>
      </c>
      <c r="O49" s="58">
        <f t="shared" si="36"/>
        <v>253.51104000000001</v>
      </c>
      <c r="P49" s="63" t="s">
        <v>424</v>
      </c>
      <c r="Q49" s="63"/>
      <c r="R49" s="63"/>
      <c r="S49" s="63"/>
      <c r="T49" s="63"/>
      <c r="U49" s="63"/>
      <c r="V49" s="63"/>
      <c r="W49" s="63"/>
      <c r="X49" s="63"/>
      <c r="Y49" s="63"/>
      <c r="Z49" s="63"/>
      <c r="AA49" s="63"/>
      <c r="AB49" s="63"/>
      <c r="AC49" s="63"/>
      <c r="AD49" s="63"/>
      <c r="AE49" s="63"/>
    </row>
    <row r="50" spans="1:31" ht="38.25">
      <c r="A50" s="114" t="s">
        <v>256</v>
      </c>
      <c r="B50" s="22" t="s">
        <v>257</v>
      </c>
      <c r="C50" s="22" t="s">
        <v>258</v>
      </c>
      <c r="D50" s="22" t="s">
        <v>174</v>
      </c>
      <c r="E50" s="136">
        <f>'MEMÓRIA QUANTITATIVOS LOT 01'!E49</f>
        <v>10</v>
      </c>
      <c r="F50" s="55">
        <f t="shared" si="31"/>
        <v>30.25</v>
      </c>
      <c r="G50" s="55">
        <f t="shared" si="32"/>
        <v>7.56</v>
      </c>
      <c r="H50" s="55">
        <f t="shared" si="33"/>
        <v>302.5</v>
      </c>
      <c r="I50" s="55">
        <f t="shared" si="34"/>
        <v>75.599999999999994</v>
      </c>
      <c r="J50" s="55">
        <f t="shared" si="35"/>
        <v>378.1</v>
      </c>
      <c r="K50" s="56">
        <f t="shared" si="27"/>
        <v>37.81</v>
      </c>
      <c r="L50" s="53">
        <f t="shared" si="28"/>
        <v>30.254528000000001</v>
      </c>
      <c r="M50" s="53">
        <f t="shared" si="29"/>
        <v>7.5636320000000001</v>
      </c>
      <c r="N50" s="62">
        <v>30.11</v>
      </c>
      <c r="O50" s="58">
        <f t="shared" si="36"/>
        <v>37.818159999999999</v>
      </c>
      <c r="P50" s="139" t="s">
        <v>425</v>
      </c>
      <c r="Q50" s="63"/>
      <c r="R50" s="63"/>
      <c r="S50" s="63"/>
      <c r="T50" s="63"/>
      <c r="U50" s="63"/>
      <c r="V50" s="63"/>
      <c r="W50" s="63"/>
      <c r="X50" s="63"/>
      <c r="Y50" s="63"/>
      <c r="Z50" s="63"/>
      <c r="AA50" s="63"/>
      <c r="AB50" s="63"/>
      <c r="AC50" s="63"/>
      <c r="AD50" s="63"/>
      <c r="AE50" s="63"/>
    </row>
    <row r="51" spans="1:31" ht="38.25">
      <c r="A51" s="114" t="s">
        <v>259</v>
      </c>
      <c r="B51" s="22" t="s">
        <v>260</v>
      </c>
      <c r="C51" s="22" t="s">
        <v>261</v>
      </c>
      <c r="D51" s="22" t="s">
        <v>174</v>
      </c>
      <c r="E51" s="136">
        <f>'MEMÓRIA QUANTITATIVOS LOT 01'!E50</f>
        <v>71</v>
      </c>
      <c r="F51" s="55">
        <f t="shared" si="31"/>
        <v>38.79</v>
      </c>
      <c r="G51" s="55">
        <f t="shared" si="32"/>
        <v>9.6999999999999993</v>
      </c>
      <c r="H51" s="55">
        <f t="shared" si="33"/>
        <v>2754.09</v>
      </c>
      <c r="I51" s="55">
        <f t="shared" si="34"/>
        <v>688.69999999999993</v>
      </c>
      <c r="J51" s="55">
        <f t="shared" si="35"/>
        <v>3442.79</v>
      </c>
      <c r="K51" s="56">
        <f t="shared" si="27"/>
        <v>48.489999999999995</v>
      </c>
      <c r="L51" s="53">
        <f t="shared" si="28"/>
        <v>38.78528</v>
      </c>
      <c r="M51" s="53">
        <f t="shared" si="29"/>
        <v>9.6963200000000001</v>
      </c>
      <c r="N51" s="62">
        <v>38.6</v>
      </c>
      <c r="O51" s="58">
        <f t="shared" si="36"/>
        <v>48.4816</v>
      </c>
      <c r="P51" s="139" t="s">
        <v>426</v>
      </c>
      <c r="Q51" s="63"/>
      <c r="R51" s="63"/>
      <c r="S51" s="63"/>
      <c r="T51" s="63"/>
      <c r="U51" s="63"/>
      <c r="V51" s="63"/>
      <c r="W51" s="63"/>
      <c r="X51" s="63"/>
      <c r="Y51" s="63"/>
      <c r="Z51" s="63"/>
      <c r="AA51" s="63"/>
      <c r="AB51" s="63"/>
      <c r="AC51" s="63"/>
      <c r="AD51" s="63"/>
      <c r="AE51" s="63"/>
    </row>
    <row r="52" spans="1:31" ht="38.25">
      <c r="A52" s="114" t="s">
        <v>262</v>
      </c>
      <c r="B52" s="22" t="s">
        <v>263</v>
      </c>
      <c r="C52" s="22" t="s">
        <v>264</v>
      </c>
      <c r="D52" s="22" t="s">
        <v>174</v>
      </c>
      <c r="E52" s="136">
        <f>'MEMÓRIA QUANTITATIVOS LOT 01'!E51</f>
        <v>24</v>
      </c>
      <c r="F52" s="55">
        <f t="shared" si="31"/>
        <v>56.22</v>
      </c>
      <c r="G52" s="55">
        <f t="shared" si="32"/>
        <v>14.05</v>
      </c>
      <c r="H52" s="55">
        <f t="shared" si="33"/>
        <v>1349.28</v>
      </c>
      <c r="I52" s="55">
        <f t="shared" si="34"/>
        <v>337.20000000000005</v>
      </c>
      <c r="J52" s="55">
        <f t="shared" si="35"/>
        <v>1686.48</v>
      </c>
      <c r="K52" s="56">
        <f t="shared" si="27"/>
        <v>70.27</v>
      </c>
      <c r="L52" s="53">
        <f t="shared" si="28"/>
        <v>56.218560000000004</v>
      </c>
      <c r="M52" s="53">
        <f t="shared" si="29"/>
        <v>14.054640000000001</v>
      </c>
      <c r="N52" s="62">
        <v>55.95</v>
      </c>
      <c r="O52" s="58">
        <f t="shared" si="36"/>
        <v>70.273200000000003</v>
      </c>
      <c r="P52" s="139" t="s">
        <v>427</v>
      </c>
      <c r="Q52" s="63"/>
      <c r="R52" s="63"/>
      <c r="S52" s="63"/>
      <c r="T52" s="63"/>
      <c r="U52" s="63"/>
      <c r="V52" s="63"/>
      <c r="W52" s="63"/>
      <c r="X52" s="63"/>
      <c r="Y52" s="63"/>
      <c r="Z52" s="63"/>
      <c r="AA52" s="63"/>
      <c r="AB52" s="63"/>
      <c r="AC52" s="63"/>
      <c r="AD52" s="63"/>
      <c r="AE52" s="63"/>
    </row>
    <row r="53" spans="1:31" ht="38.25">
      <c r="A53" s="114" t="s">
        <v>265</v>
      </c>
      <c r="B53" s="22" t="s">
        <v>266</v>
      </c>
      <c r="C53" s="22" t="s">
        <v>267</v>
      </c>
      <c r="D53" s="22" t="s">
        <v>174</v>
      </c>
      <c r="E53" s="136">
        <f>'MEMÓRIA QUANTITATIVOS LOT 01'!E52</f>
        <v>0</v>
      </c>
      <c r="F53" s="55">
        <f t="shared" si="31"/>
        <v>75.45</v>
      </c>
      <c r="G53" s="55">
        <f t="shared" si="32"/>
        <v>18.86</v>
      </c>
      <c r="H53" s="55">
        <f t="shared" si="33"/>
        <v>0</v>
      </c>
      <c r="I53" s="55">
        <f t="shared" si="34"/>
        <v>0</v>
      </c>
      <c r="J53" s="55">
        <f t="shared" si="35"/>
        <v>0</v>
      </c>
      <c r="K53" s="56">
        <f t="shared" si="27"/>
        <v>94.31</v>
      </c>
      <c r="L53" s="53">
        <f t="shared" si="28"/>
        <v>75.450432000000006</v>
      </c>
      <c r="M53" s="53">
        <f t="shared" si="29"/>
        <v>18.862608000000002</v>
      </c>
      <c r="N53" s="62">
        <v>75.09</v>
      </c>
      <c r="O53" s="58">
        <f t="shared" si="36"/>
        <v>94.313040000000001</v>
      </c>
      <c r="P53" s="139" t="s">
        <v>428</v>
      </c>
      <c r="Q53" s="63"/>
      <c r="R53" s="63"/>
      <c r="S53" s="63"/>
      <c r="T53" s="63"/>
      <c r="U53" s="63"/>
      <c r="V53" s="63"/>
      <c r="W53" s="63"/>
      <c r="X53" s="63"/>
      <c r="Y53" s="63"/>
      <c r="Z53" s="63"/>
      <c r="AA53" s="63"/>
      <c r="AB53" s="63"/>
      <c r="AC53" s="63"/>
      <c r="AD53" s="63"/>
      <c r="AE53" s="63"/>
    </row>
    <row r="54" spans="1:31" ht="38.25">
      <c r="A54" s="114" t="s">
        <v>268</v>
      </c>
      <c r="B54" s="22" t="s">
        <v>269</v>
      </c>
      <c r="C54" s="22" t="s">
        <v>270</v>
      </c>
      <c r="D54" s="22" t="s">
        <v>20</v>
      </c>
      <c r="E54" s="136">
        <f>'MEMÓRIA QUANTITATIVOS LOT 01'!E53</f>
        <v>7</v>
      </c>
      <c r="F54" s="55">
        <f t="shared" si="31"/>
        <v>730.75</v>
      </c>
      <c r="G54" s="55">
        <f t="shared" si="32"/>
        <v>182.69</v>
      </c>
      <c r="H54" s="55">
        <f t="shared" si="33"/>
        <v>5115.25</v>
      </c>
      <c r="I54" s="55">
        <f t="shared" si="34"/>
        <v>1278.83</v>
      </c>
      <c r="J54" s="55">
        <f t="shared" si="35"/>
        <v>6394.08</v>
      </c>
      <c r="K54" s="56">
        <f t="shared" si="27"/>
        <v>913.44</v>
      </c>
      <c r="L54" s="53">
        <f t="shared" si="28"/>
        <v>730.75084800000002</v>
      </c>
      <c r="M54" s="53">
        <f t="shared" si="29"/>
        <v>182.687712</v>
      </c>
      <c r="N54" s="62">
        <v>727.26</v>
      </c>
      <c r="O54" s="58">
        <f t="shared" si="36"/>
        <v>913.43855999999994</v>
      </c>
      <c r="P54" s="139" t="s">
        <v>429</v>
      </c>
      <c r="Q54" s="63"/>
      <c r="R54" s="63"/>
      <c r="S54" s="63"/>
      <c r="T54" s="63"/>
      <c r="U54" s="63"/>
      <c r="V54" s="63"/>
      <c r="W54" s="63"/>
      <c r="X54" s="63"/>
      <c r="Y54" s="63"/>
      <c r="Z54" s="63"/>
      <c r="AA54" s="63"/>
      <c r="AB54" s="63"/>
      <c r="AC54" s="63"/>
      <c r="AD54" s="63"/>
      <c r="AE54" s="63"/>
    </row>
    <row r="55" spans="1:31" ht="18.75">
      <c r="A55" s="114" t="s">
        <v>271</v>
      </c>
      <c r="B55" s="119" t="s">
        <v>272</v>
      </c>
      <c r="C55" s="22" t="s">
        <v>273</v>
      </c>
      <c r="D55" s="22" t="s">
        <v>20</v>
      </c>
      <c r="E55" s="136">
        <f>'MEMÓRIA QUANTITATIVOS LOT 01'!E54</f>
        <v>6</v>
      </c>
      <c r="F55" s="55" t="e">
        <f t="shared" si="31"/>
        <v>#REF!</v>
      </c>
      <c r="G55" s="55" t="e">
        <f t="shared" si="32"/>
        <v>#REF!</v>
      </c>
      <c r="H55" s="55" t="e">
        <f t="shared" si="33"/>
        <v>#REF!</v>
      </c>
      <c r="I55" s="55" t="e">
        <f t="shared" si="34"/>
        <v>#REF!</v>
      </c>
      <c r="J55" s="55" t="e">
        <f t="shared" si="35"/>
        <v>#REF!</v>
      </c>
      <c r="K55" s="56" t="e">
        <f t="shared" si="27"/>
        <v>#REF!</v>
      </c>
      <c r="L55" s="53" t="e">
        <f t="shared" si="28"/>
        <v>#REF!</v>
      </c>
      <c r="M55" s="53" t="e">
        <f t="shared" si="29"/>
        <v>#REF!</v>
      </c>
      <c r="N55" s="140" t="e">
        <f>#REF!</f>
        <v>#REF!</v>
      </c>
      <c r="O55" s="58" t="e">
        <f t="shared" si="36"/>
        <v>#REF!</v>
      </c>
      <c r="P55" s="64" t="s">
        <v>430</v>
      </c>
      <c r="Q55" s="63"/>
      <c r="R55" s="63"/>
      <c r="S55" s="63"/>
      <c r="T55" s="63"/>
      <c r="U55" s="63"/>
      <c r="V55" s="63"/>
      <c r="W55" s="63"/>
      <c r="X55" s="63"/>
      <c r="Y55" s="63"/>
      <c r="Z55" s="63"/>
      <c r="AA55" s="63"/>
      <c r="AB55" s="63"/>
      <c r="AC55" s="63"/>
      <c r="AD55" s="63"/>
      <c r="AE55" s="63"/>
    </row>
    <row r="56" spans="1:31" ht="18.75">
      <c r="A56" s="114" t="s">
        <v>274</v>
      </c>
      <c r="B56" s="119" t="s">
        <v>272</v>
      </c>
      <c r="C56" s="22" t="s">
        <v>275</v>
      </c>
      <c r="D56" s="22" t="s">
        <v>20</v>
      </c>
      <c r="E56" s="136">
        <f>'MEMÓRIA QUANTITATIVOS LOT 01'!E55</f>
        <v>1</v>
      </c>
      <c r="F56" s="55" t="e">
        <f t="shared" si="31"/>
        <v>#REF!</v>
      </c>
      <c r="G56" s="55" t="e">
        <f t="shared" si="32"/>
        <v>#REF!</v>
      </c>
      <c r="H56" s="55" t="e">
        <f t="shared" si="33"/>
        <v>#REF!</v>
      </c>
      <c r="I56" s="55" t="e">
        <f t="shared" si="34"/>
        <v>#REF!</v>
      </c>
      <c r="J56" s="55" t="e">
        <f t="shared" si="35"/>
        <v>#REF!</v>
      </c>
      <c r="K56" s="56" t="e">
        <f t="shared" si="27"/>
        <v>#REF!</v>
      </c>
      <c r="L56" s="53" t="e">
        <f t="shared" si="28"/>
        <v>#REF!</v>
      </c>
      <c r="M56" s="53" t="e">
        <f t="shared" si="29"/>
        <v>#REF!</v>
      </c>
      <c r="N56" s="140" t="e">
        <f>#REF!</f>
        <v>#REF!</v>
      </c>
      <c r="O56" s="58" t="e">
        <f t="shared" si="36"/>
        <v>#REF!</v>
      </c>
      <c r="P56" s="64" t="s">
        <v>430</v>
      </c>
      <c r="Q56" s="63"/>
      <c r="R56" s="63"/>
      <c r="S56" s="63"/>
      <c r="T56" s="63"/>
      <c r="U56" s="63"/>
      <c r="V56" s="63"/>
      <c r="W56" s="63"/>
      <c r="X56" s="63"/>
      <c r="Y56" s="63"/>
      <c r="Z56" s="63"/>
      <c r="AA56" s="63"/>
      <c r="AB56" s="63"/>
      <c r="AC56" s="63"/>
      <c r="AD56" s="63"/>
      <c r="AE56" s="63"/>
    </row>
    <row r="57" spans="1:31" ht="18.75">
      <c r="A57" s="114" t="s">
        <v>276</v>
      </c>
      <c r="B57" s="119" t="s">
        <v>272</v>
      </c>
      <c r="C57" s="22" t="s">
        <v>277</v>
      </c>
      <c r="D57" s="22" t="s">
        <v>20</v>
      </c>
      <c r="E57" s="136">
        <f>'MEMÓRIA QUANTITATIVOS LOT 01'!E56</f>
        <v>0</v>
      </c>
      <c r="F57" s="55" t="e">
        <f t="shared" si="31"/>
        <v>#REF!</v>
      </c>
      <c r="G57" s="55" t="e">
        <f t="shared" si="32"/>
        <v>#REF!</v>
      </c>
      <c r="H57" s="55" t="e">
        <f t="shared" si="33"/>
        <v>#REF!</v>
      </c>
      <c r="I57" s="55" t="e">
        <f t="shared" si="34"/>
        <v>#REF!</v>
      </c>
      <c r="J57" s="55" t="e">
        <f t="shared" si="35"/>
        <v>#REF!</v>
      </c>
      <c r="K57" s="56" t="e">
        <f t="shared" si="27"/>
        <v>#REF!</v>
      </c>
      <c r="L57" s="53" t="e">
        <f t="shared" si="28"/>
        <v>#REF!</v>
      </c>
      <c r="M57" s="53" t="e">
        <f t="shared" si="29"/>
        <v>#REF!</v>
      </c>
      <c r="N57" s="140" t="e">
        <f>#REF!</f>
        <v>#REF!</v>
      </c>
      <c r="O57" s="58" t="e">
        <f t="shared" si="36"/>
        <v>#REF!</v>
      </c>
      <c r="P57" s="64" t="s">
        <v>430</v>
      </c>
      <c r="Q57" s="63"/>
      <c r="R57" s="63"/>
      <c r="S57" s="63"/>
      <c r="T57" s="63"/>
      <c r="U57" s="63"/>
      <c r="V57" s="63"/>
      <c r="W57" s="63"/>
      <c r="X57" s="63"/>
      <c r="Y57" s="63"/>
      <c r="Z57" s="63"/>
      <c r="AA57" s="63"/>
      <c r="AB57" s="63"/>
      <c r="AC57" s="63"/>
      <c r="AD57" s="63"/>
      <c r="AE57" s="63"/>
    </row>
    <row r="58" spans="1:31" ht="18.75">
      <c r="A58" s="114" t="s">
        <v>276</v>
      </c>
      <c r="B58" s="22" t="s">
        <v>278</v>
      </c>
      <c r="C58" s="22" t="s">
        <v>279</v>
      </c>
      <c r="D58" s="22" t="s">
        <v>47</v>
      </c>
      <c r="E58" s="136">
        <f>'MEMÓRIA QUANTITATIVOS LOT 01'!E57</f>
        <v>10</v>
      </c>
      <c r="F58" s="55">
        <f t="shared" si="31"/>
        <v>479.6</v>
      </c>
      <c r="G58" s="55">
        <f t="shared" si="32"/>
        <v>119.9</v>
      </c>
      <c r="H58" s="55">
        <f t="shared" si="33"/>
        <v>4796</v>
      </c>
      <c r="I58" s="55">
        <f t="shared" si="34"/>
        <v>1199</v>
      </c>
      <c r="J58" s="55">
        <f t="shared" si="35"/>
        <v>5995</v>
      </c>
      <c r="K58" s="56">
        <f t="shared" si="27"/>
        <v>599.5</v>
      </c>
      <c r="L58" s="53">
        <f t="shared" si="28"/>
        <v>479.601088</v>
      </c>
      <c r="M58" s="53">
        <f t="shared" si="29"/>
        <v>119.900272</v>
      </c>
      <c r="N58" s="62">
        <v>477.31</v>
      </c>
      <c r="O58" s="58">
        <f t="shared" si="36"/>
        <v>599.50135999999998</v>
      </c>
      <c r="P58" s="139" t="s">
        <v>431</v>
      </c>
      <c r="Q58" s="63"/>
      <c r="R58" s="63"/>
      <c r="S58" s="63"/>
      <c r="T58" s="63"/>
      <c r="U58" s="63"/>
      <c r="V58" s="63"/>
      <c r="W58" s="63"/>
      <c r="X58" s="63"/>
      <c r="Y58" s="63"/>
      <c r="Z58" s="63"/>
      <c r="AA58" s="63"/>
      <c r="AB58" s="63"/>
      <c r="AC58" s="63"/>
      <c r="AD58" s="63"/>
      <c r="AE58" s="63"/>
    </row>
    <row r="59" spans="1:31" ht="25.5">
      <c r="A59" s="114" t="s">
        <v>281</v>
      </c>
      <c r="B59" s="22">
        <v>94965</v>
      </c>
      <c r="C59" s="22" t="s">
        <v>282</v>
      </c>
      <c r="D59" s="22" t="s">
        <v>47</v>
      </c>
      <c r="E59" s="136">
        <f>'MEMÓRIA QUANTITATIVOS LOT 01'!E58</f>
        <v>6</v>
      </c>
      <c r="F59" s="55">
        <f t="shared" si="31"/>
        <v>344.7</v>
      </c>
      <c r="G59" s="55">
        <f t="shared" si="32"/>
        <v>86.17</v>
      </c>
      <c r="H59" s="55">
        <f t="shared" si="33"/>
        <v>2068.1999999999998</v>
      </c>
      <c r="I59" s="55">
        <f t="shared" si="34"/>
        <v>517.02</v>
      </c>
      <c r="J59" s="55">
        <f t="shared" si="35"/>
        <v>2585.2199999999998</v>
      </c>
      <c r="K59" s="56">
        <f t="shared" si="27"/>
        <v>430.87</v>
      </c>
      <c r="L59" s="53">
        <f t="shared" si="28"/>
        <v>344.69664000000006</v>
      </c>
      <c r="M59" s="53">
        <f t="shared" si="29"/>
        <v>86.174160000000015</v>
      </c>
      <c r="N59" s="62">
        <v>343.05</v>
      </c>
      <c r="O59" s="58">
        <f t="shared" si="36"/>
        <v>430.87080000000003</v>
      </c>
      <c r="P59" s="64" t="s">
        <v>432</v>
      </c>
      <c r="Q59" s="63"/>
      <c r="R59" s="63"/>
      <c r="S59" s="63"/>
      <c r="T59" s="63"/>
      <c r="U59" s="63"/>
      <c r="V59" s="63"/>
      <c r="W59" s="63"/>
      <c r="X59" s="63"/>
      <c r="Y59" s="63"/>
      <c r="Z59" s="63"/>
      <c r="AA59" s="63"/>
      <c r="AB59" s="63"/>
      <c r="AC59" s="63"/>
      <c r="AD59" s="63"/>
      <c r="AE59" s="63"/>
    </row>
    <row r="60" spans="1:31" ht="28.5" customHeight="1">
      <c r="A60" s="114" t="s">
        <v>284</v>
      </c>
      <c r="B60" s="22" t="s">
        <v>285</v>
      </c>
      <c r="C60" s="22" t="s">
        <v>286</v>
      </c>
      <c r="D60" s="22" t="s">
        <v>41</v>
      </c>
      <c r="E60" s="136">
        <f>'MEMÓRIA QUANTITATIVOS LOT 01'!E59</f>
        <v>100</v>
      </c>
      <c r="F60" s="55">
        <f t="shared" si="31"/>
        <v>15.26</v>
      </c>
      <c r="G60" s="55">
        <f t="shared" si="32"/>
        <v>3.82</v>
      </c>
      <c r="H60" s="55">
        <f t="shared" si="33"/>
        <v>1526</v>
      </c>
      <c r="I60" s="55">
        <f t="shared" si="34"/>
        <v>382</v>
      </c>
      <c r="J60" s="55">
        <f t="shared" si="35"/>
        <v>1908</v>
      </c>
      <c r="K60" s="56">
        <f t="shared" si="27"/>
        <v>19.079999999999998</v>
      </c>
      <c r="L60" s="53">
        <f t="shared" si="28"/>
        <v>15.262912</v>
      </c>
      <c r="M60" s="53">
        <f t="shared" si="29"/>
        <v>3.815728</v>
      </c>
      <c r="N60" s="62">
        <v>15.19</v>
      </c>
      <c r="O60" s="58">
        <f t="shared" si="36"/>
        <v>19.07864</v>
      </c>
      <c r="P60" s="64" t="s">
        <v>433</v>
      </c>
      <c r="Q60" s="63"/>
      <c r="R60" s="63"/>
      <c r="S60" s="63"/>
      <c r="T60" s="63"/>
      <c r="U60" s="63"/>
      <c r="V60" s="63"/>
      <c r="W60" s="63"/>
      <c r="X60" s="63"/>
      <c r="Y60" s="63"/>
      <c r="Z60" s="63"/>
      <c r="AA60" s="63"/>
      <c r="AB60" s="63"/>
      <c r="AC60" s="63"/>
      <c r="AD60" s="63"/>
      <c r="AE60" s="63"/>
    </row>
    <row r="61" spans="1:31" ht="18.75">
      <c r="A61" s="113">
        <v>6</v>
      </c>
      <c r="B61" s="18"/>
      <c r="C61" s="18" t="s">
        <v>287</v>
      </c>
      <c r="D61" s="18"/>
      <c r="E61" s="136">
        <f>'MEMÓRIA QUANTITATIVOS LOT 01'!E60</f>
        <v>0</v>
      </c>
      <c r="F61" s="138"/>
      <c r="G61" s="138"/>
      <c r="H61" s="138"/>
      <c r="I61" s="138"/>
      <c r="J61" s="138"/>
      <c r="K61" s="56"/>
      <c r="L61" s="53"/>
      <c r="M61" s="53"/>
      <c r="N61" s="67"/>
      <c r="O61" s="58"/>
      <c r="P61" s="67"/>
      <c r="Q61" s="67"/>
      <c r="R61" s="67"/>
      <c r="S61" s="67"/>
      <c r="T61" s="67"/>
      <c r="U61" s="67"/>
      <c r="V61" s="67"/>
      <c r="W61" s="67"/>
      <c r="X61" s="67"/>
      <c r="Y61" s="67"/>
      <c r="Z61" s="67"/>
      <c r="AA61" s="67"/>
      <c r="AB61" s="67"/>
      <c r="AC61" s="67"/>
      <c r="AD61" s="67"/>
      <c r="AE61" s="67"/>
    </row>
    <row r="62" spans="1:31" ht="25.5">
      <c r="A62" s="22" t="s">
        <v>288</v>
      </c>
      <c r="B62" s="22" t="s">
        <v>289</v>
      </c>
      <c r="C62" s="22" t="s">
        <v>290</v>
      </c>
      <c r="D62" s="22" t="s">
        <v>47</v>
      </c>
      <c r="E62" s="136">
        <f>'MEMÓRIA QUANTITATIVOS LOT 01'!E61</f>
        <v>500.79200000000003</v>
      </c>
      <c r="F62" s="55">
        <f t="shared" ref="F62:F76" si="37">ROUND(L62,2)</f>
        <v>74.22</v>
      </c>
      <c r="G62" s="55">
        <f t="shared" ref="G62:G76" si="38">ROUND(M62,2)</f>
        <v>18.559999999999999</v>
      </c>
      <c r="H62" s="55">
        <f t="shared" ref="H62:H76" si="39">E62*F62</f>
        <v>37168.78224</v>
      </c>
      <c r="I62" s="55">
        <f t="shared" ref="I62:I76" si="40">E62*G62</f>
        <v>9294.6995200000001</v>
      </c>
      <c r="J62" s="55">
        <f t="shared" ref="J62:J76" si="41">I62+H62</f>
        <v>46463.481760000002</v>
      </c>
      <c r="K62" s="56">
        <f t="shared" ref="K62:K91" si="42">F62+G62</f>
        <v>92.78</v>
      </c>
      <c r="L62" s="53">
        <f t="shared" ref="L62:L91" si="43">O62*0.8</f>
        <v>74.224575999999999</v>
      </c>
      <c r="M62" s="53">
        <f t="shared" ref="M62:M91" si="44">O62*0.2</f>
        <v>18.556144</v>
      </c>
      <c r="N62" s="62">
        <v>73.87</v>
      </c>
      <c r="O62" s="58">
        <f t="shared" ref="O62:O91" si="45">N62*1.256</f>
        <v>92.780720000000002</v>
      </c>
      <c r="P62" s="64" t="s">
        <v>434</v>
      </c>
      <c r="Q62" s="63"/>
      <c r="R62" s="63"/>
      <c r="S62" s="63"/>
      <c r="T62" s="63"/>
      <c r="U62" s="63"/>
      <c r="V62" s="63"/>
      <c r="W62" s="63"/>
      <c r="X62" s="63"/>
      <c r="Y62" s="63"/>
      <c r="Z62" s="63"/>
      <c r="AA62" s="63"/>
      <c r="AB62" s="63"/>
      <c r="AC62" s="63"/>
      <c r="AD62" s="63"/>
      <c r="AE62" s="63"/>
    </row>
    <row r="63" spans="1:31" ht="25.5">
      <c r="A63" s="22" t="s">
        <v>292</v>
      </c>
      <c r="B63" s="22" t="s">
        <v>186</v>
      </c>
      <c r="C63" s="22" t="s">
        <v>293</v>
      </c>
      <c r="D63" s="22" t="s">
        <v>47</v>
      </c>
      <c r="E63" s="136">
        <f>'MEMÓRIA QUANTITATIVOS LOT 01'!E62</f>
        <v>651.02960000000007</v>
      </c>
      <c r="F63" s="55">
        <f t="shared" si="37"/>
        <v>17.940000000000001</v>
      </c>
      <c r="G63" s="55">
        <f t="shared" si="38"/>
        <v>4.4800000000000004</v>
      </c>
      <c r="H63" s="55">
        <f t="shared" si="39"/>
        <v>11679.471024000002</v>
      </c>
      <c r="I63" s="55">
        <f t="shared" si="40"/>
        <v>2916.6126080000008</v>
      </c>
      <c r="J63" s="55">
        <f t="shared" si="41"/>
        <v>14596.083632000003</v>
      </c>
      <c r="K63" s="56">
        <f t="shared" si="42"/>
        <v>22.42</v>
      </c>
      <c r="L63" s="53">
        <f t="shared" si="43"/>
        <v>17.935680000000001</v>
      </c>
      <c r="M63" s="53">
        <f t="shared" si="44"/>
        <v>4.4839200000000003</v>
      </c>
      <c r="N63" s="62">
        <f>1.19*15</f>
        <v>17.849999999999998</v>
      </c>
      <c r="O63" s="58">
        <f t="shared" si="45"/>
        <v>22.419599999999999</v>
      </c>
      <c r="P63" s="64" t="s">
        <v>409</v>
      </c>
      <c r="Q63" s="63"/>
      <c r="R63" s="63"/>
      <c r="S63" s="63"/>
      <c r="T63" s="63"/>
      <c r="U63" s="63"/>
      <c r="V63" s="63"/>
      <c r="W63" s="63"/>
      <c r="X63" s="63"/>
      <c r="Y63" s="63"/>
      <c r="Z63" s="63"/>
      <c r="AA63" s="63"/>
      <c r="AB63" s="63"/>
      <c r="AC63" s="63"/>
      <c r="AD63" s="63"/>
      <c r="AE63" s="63"/>
    </row>
    <row r="64" spans="1:31" ht="25.5">
      <c r="A64" s="22" t="s">
        <v>294</v>
      </c>
      <c r="B64" s="22" t="s">
        <v>188</v>
      </c>
      <c r="C64" s="22" t="s">
        <v>295</v>
      </c>
      <c r="D64" s="22" t="s">
        <v>47</v>
      </c>
      <c r="E64" s="136">
        <f>'MEMÓRIA QUANTITATIVOS LOT 01'!E63</f>
        <v>651.02960000000007</v>
      </c>
      <c r="F64" s="55">
        <f t="shared" si="37"/>
        <v>1.1599999999999999</v>
      </c>
      <c r="G64" s="55">
        <f t="shared" si="38"/>
        <v>0.28999999999999998</v>
      </c>
      <c r="H64" s="55">
        <f t="shared" si="39"/>
        <v>755.19433600000002</v>
      </c>
      <c r="I64" s="55">
        <f t="shared" si="40"/>
        <v>188.79858400000001</v>
      </c>
      <c r="J64" s="55">
        <f t="shared" si="41"/>
        <v>943.99292000000003</v>
      </c>
      <c r="K64" s="56">
        <f t="shared" si="42"/>
        <v>1.45</v>
      </c>
      <c r="L64" s="53">
        <f t="shared" si="43"/>
        <v>1.160544</v>
      </c>
      <c r="M64" s="53">
        <f t="shared" si="44"/>
        <v>0.29013600000000001</v>
      </c>
      <c r="N64" s="62">
        <f>0.77*1.5</f>
        <v>1.155</v>
      </c>
      <c r="O64" s="58">
        <f t="shared" si="45"/>
        <v>1.45068</v>
      </c>
      <c r="P64" s="64" t="s">
        <v>410</v>
      </c>
      <c r="Q64" s="63"/>
      <c r="R64" s="63"/>
      <c r="S64" s="63"/>
      <c r="T64" s="63"/>
      <c r="U64" s="63"/>
      <c r="V64" s="63"/>
      <c r="W64" s="63"/>
      <c r="X64" s="63"/>
      <c r="Y64" s="63"/>
      <c r="Z64" s="63"/>
      <c r="AA64" s="63"/>
      <c r="AB64" s="63"/>
      <c r="AC64" s="63"/>
      <c r="AD64" s="63"/>
      <c r="AE64" s="63"/>
    </row>
    <row r="65" spans="1:31" ht="18.75">
      <c r="A65" s="22" t="s">
        <v>296</v>
      </c>
      <c r="B65" s="22" t="s">
        <v>297</v>
      </c>
      <c r="C65" s="122" t="s">
        <v>298</v>
      </c>
      <c r="D65" s="22" t="s">
        <v>47</v>
      </c>
      <c r="E65" s="136">
        <f>'MEMÓRIA QUANTITATIVOS LOT 01'!E64</f>
        <v>75.118799999999993</v>
      </c>
      <c r="F65" s="55">
        <f t="shared" si="37"/>
        <v>89.2</v>
      </c>
      <c r="G65" s="55">
        <f t="shared" si="38"/>
        <v>22.3</v>
      </c>
      <c r="H65" s="55">
        <f t="shared" si="39"/>
        <v>6700.5969599999999</v>
      </c>
      <c r="I65" s="55">
        <f t="shared" si="40"/>
        <v>1675.14924</v>
      </c>
      <c r="J65" s="55">
        <f t="shared" si="41"/>
        <v>8375.7461999999996</v>
      </c>
      <c r="K65" s="56">
        <f t="shared" si="42"/>
        <v>111.5</v>
      </c>
      <c r="L65" s="53">
        <f t="shared" si="43"/>
        <v>89.196096000000011</v>
      </c>
      <c r="M65" s="53">
        <f t="shared" si="44"/>
        <v>22.299024000000003</v>
      </c>
      <c r="N65" s="62">
        <v>88.77</v>
      </c>
      <c r="O65" s="58">
        <f t="shared" si="45"/>
        <v>111.49512</v>
      </c>
      <c r="P65" s="141" t="s">
        <v>435</v>
      </c>
      <c r="Q65" s="63"/>
      <c r="R65" s="63"/>
      <c r="S65" s="63"/>
      <c r="T65" s="63"/>
      <c r="U65" s="63"/>
      <c r="V65" s="63"/>
      <c r="W65" s="63"/>
      <c r="X65" s="63"/>
      <c r="Y65" s="63"/>
      <c r="Z65" s="63"/>
      <c r="AA65" s="63"/>
      <c r="AB65" s="63"/>
      <c r="AC65" s="63"/>
      <c r="AD65" s="63"/>
      <c r="AE65" s="63"/>
    </row>
    <row r="66" spans="1:31" ht="25.5">
      <c r="A66" s="22" t="s">
        <v>300</v>
      </c>
      <c r="B66" s="22" t="s">
        <v>186</v>
      </c>
      <c r="C66" s="22" t="s">
        <v>301</v>
      </c>
      <c r="D66" s="22" t="s">
        <v>47</v>
      </c>
      <c r="E66" s="136">
        <f>'MEMÓRIA QUANTITATIVOS LOT 01'!E65</f>
        <v>97.654439999999994</v>
      </c>
      <c r="F66" s="55">
        <f t="shared" si="37"/>
        <v>17.940000000000001</v>
      </c>
      <c r="G66" s="55">
        <f t="shared" si="38"/>
        <v>4.4800000000000004</v>
      </c>
      <c r="H66" s="55">
        <f t="shared" si="39"/>
        <v>1751.9206535999999</v>
      </c>
      <c r="I66" s="55">
        <f t="shared" si="40"/>
        <v>437.4918912</v>
      </c>
      <c r="J66" s="55">
        <f t="shared" si="41"/>
        <v>2189.4125448</v>
      </c>
      <c r="K66" s="56">
        <f t="shared" si="42"/>
        <v>22.42</v>
      </c>
      <c r="L66" s="53">
        <f t="shared" si="43"/>
        <v>17.935680000000001</v>
      </c>
      <c r="M66" s="53">
        <f t="shared" si="44"/>
        <v>4.4839200000000003</v>
      </c>
      <c r="N66" s="62">
        <f>1.19*15</f>
        <v>17.849999999999998</v>
      </c>
      <c r="O66" s="58">
        <f t="shared" si="45"/>
        <v>22.419599999999999</v>
      </c>
      <c r="P66" s="64" t="s">
        <v>409</v>
      </c>
      <c r="Q66" s="63"/>
      <c r="R66" s="63"/>
      <c r="S66" s="63"/>
      <c r="T66" s="63"/>
      <c r="U66" s="63"/>
      <c r="V66" s="63"/>
      <c r="W66" s="63"/>
      <c r="X66" s="63"/>
      <c r="Y66" s="63"/>
      <c r="Z66" s="63"/>
      <c r="AA66" s="63"/>
      <c r="AB66" s="63"/>
      <c r="AC66" s="63"/>
      <c r="AD66" s="63"/>
      <c r="AE66" s="63"/>
    </row>
    <row r="67" spans="1:31" ht="25.5">
      <c r="A67" s="22" t="s">
        <v>303</v>
      </c>
      <c r="B67" s="22" t="s">
        <v>188</v>
      </c>
      <c r="C67" s="22" t="s">
        <v>304</v>
      </c>
      <c r="D67" s="22" t="s">
        <v>47</v>
      </c>
      <c r="E67" s="136">
        <f>'MEMÓRIA QUANTITATIVOS LOT 01'!E66</f>
        <v>97.654439999999994</v>
      </c>
      <c r="F67" s="55">
        <f t="shared" si="37"/>
        <v>1.1599999999999999</v>
      </c>
      <c r="G67" s="55">
        <f t="shared" si="38"/>
        <v>0.28999999999999998</v>
      </c>
      <c r="H67" s="55">
        <f t="shared" si="39"/>
        <v>113.27915039999999</v>
      </c>
      <c r="I67" s="55">
        <f t="shared" si="40"/>
        <v>28.319787599999998</v>
      </c>
      <c r="J67" s="55">
        <f t="shared" si="41"/>
        <v>141.59893799999998</v>
      </c>
      <c r="K67" s="56">
        <f t="shared" si="42"/>
        <v>1.45</v>
      </c>
      <c r="L67" s="53">
        <f t="shared" si="43"/>
        <v>1.160544</v>
      </c>
      <c r="M67" s="53">
        <f t="shared" si="44"/>
        <v>0.29013600000000001</v>
      </c>
      <c r="N67" s="62">
        <f>0.77*1.5</f>
        <v>1.155</v>
      </c>
      <c r="O67" s="58">
        <f t="shared" si="45"/>
        <v>1.45068</v>
      </c>
      <c r="P67" s="64" t="s">
        <v>410</v>
      </c>
      <c r="Q67" s="63"/>
      <c r="R67" s="63"/>
      <c r="S67" s="63"/>
      <c r="T67" s="63"/>
      <c r="U67" s="63"/>
      <c r="V67" s="63"/>
      <c r="W67" s="63"/>
      <c r="X67" s="63"/>
      <c r="Y67" s="63"/>
      <c r="Z67" s="63"/>
      <c r="AA67" s="63"/>
      <c r="AB67" s="63"/>
      <c r="AC67" s="63"/>
      <c r="AD67" s="63"/>
      <c r="AE67" s="63"/>
    </row>
    <row r="68" spans="1:31" ht="24">
      <c r="A68" s="22" t="s">
        <v>305</v>
      </c>
      <c r="B68" s="22" t="s">
        <v>306</v>
      </c>
      <c r="C68" s="22" t="s">
        <v>307</v>
      </c>
      <c r="D68" s="22" t="s">
        <v>47</v>
      </c>
      <c r="E68" s="136">
        <f>'MEMÓRIA QUANTITATIVOS LOT 01'!E67</f>
        <v>375.59399999999999</v>
      </c>
      <c r="F68" s="55">
        <f t="shared" si="37"/>
        <v>82.65</v>
      </c>
      <c r="G68" s="55">
        <f t="shared" si="38"/>
        <v>20.66</v>
      </c>
      <c r="H68" s="55">
        <f t="shared" si="39"/>
        <v>31042.844100000002</v>
      </c>
      <c r="I68" s="55">
        <f t="shared" si="40"/>
        <v>7759.7720399999998</v>
      </c>
      <c r="J68" s="55">
        <f t="shared" si="41"/>
        <v>38802.616139999998</v>
      </c>
      <c r="K68" s="56">
        <f t="shared" si="42"/>
        <v>103.31</v>
      </c>
      <c r="L68" s="53">
        <f t="shared" si="43"/>
        <v>82.654848000000015</v>
      </c>
      <c r="M68" s="53">
        <f t="shared" si="44"/>
        <v>20.663712000000004</v>
      </c>
      <c r="N68" s="62">
        <v>82.26</v>
      </c>
      <c r="O68" s="58">
        <f t="shared" si="45"/>
        <v>103.31856000000001</v>
      </c>
      <c r="P68" s="142" t="s">
        <v>436</v>
      </c>
      <c r="Q68" s="63"/>
      <c r="R68" s="63"/>
      <c r="S68" s="63"/>
      <c r="T68" s="63"/>
      <c r="U68" s="63"/>
      <c r="V68" s="63"/>
      <c r="W68" s="63"/>
      <c r="X68" s="63"/>
      <c r="Y68" s="63"/>
      <c r="Z68" s="63"/>
      <c r="AA68" s="63"/>
      <c r="AB68" s="63"/>
      <c r="AC68" s="63"/>
      <c r="AD68" s="63"/>
      <c r="AE68" s="63"/>
    </row>
    <row r="69" spans="1:31" ht="25.5">
      <c r="A69" s="22" t="s">
        <v>309</v>
      </c>
      <c r="B69" s="22" t="s">
        <v>186</v>
      </c>
      <c r="C69" s="22" t="s">
        <v>310</v>
      </c>
      <c r="D69" s="22" t="s">
        <v>47</v>
      </c>
      <c r="E69" s="136">
        <f>'MEMÓRIA QUANTITATIVOS LOT 01'!E68</f>
        <v>488.2722</v>
      </c>
      <c r="F69" s="55">
        <f t="shared" si="37"/>
        <v>17.940000000000001</v>
      </c>
      <c r="G69" s="55">
        <f t="shared" si="38"/>
        <v>4.4800000000000004</v>
      </c>
      <c r="H69" s="55">
        <f t="shared" si="39"/>
        <v>8759.6032680000008</v>
      </c>
      <c r="I69" s="55">
        <f t="shared" si="40"/>
        <v>2187.459456</v>
      </c>
      <c r="J69" s="55">
        <f t="shared" si="41"/>
        <v>10947.062724000001</v>
      </c>
      <c r="K69" s="56">
        <f t="shared" si="42"/>
        <v>22.42</v>
      </c>
      <c r="L69" s="53">
        <f t="shared" si="43"/>
        <v>17.935680000000001</v>
      </c>
      <c r="M69" s="53">
        <f t="shared" si="44"/>
        <v>4.4839200000000003</v>
      </c>
      <c r="N69" s="62">
        <f>15*1.19</f>
        <v>17.849999999999998</v>
      </c>
      <c r="O69" s="58">
        <f t="shared" si="45"/>
        <v>22.419599999999999</v>
      </c>
      <c r="P69" s="64" t="s">
        <v>409</v>
      </c>
      <c r="Q69" s="63"/>
      <c r="R69" s="63"/>
      <c r="S69" s="63"/>
      <c r="T69" s="63"/>
      <c r="U69" s="63"/>
      <c r="V69" s="63"/>
      <c r="W69" s="63"/>
      <c r="X69" s="63"/>
      <c r="Y69" s="63"/>
      <c r="Z69" s="63"/>
      <c r="AA69" s="63"/>
      <c r="AB69" s="63"/>
      <c r="AC69" s="63"/>
      <c r="AD69" s="63"/>
      <c r="AE69" s="63"/>
    </row>
    <row r="70" spans="1:31" ht="25.5">
      <c r="A70" s="22" t="s">
        <v>311</v>
      </c>
      <c r="B70" s="22" t="s">
        <v>188</v>
      </c>
      <c r="C70" s="22" t="s">
        <v>312</v>
      </c>
      <c r="D70" s="22" t="s">
        <v>47</v>
      </c>
      <c r="E70" s="136">
        <f>'MEMÓRIA QUANTITATIVOS LOT 01'!E69</f>
        <v>488.2722</v>
      </c>
      <c r="F70" s="55">
        <f t="shared" si="37"/>
        <v>1.1599999999999999</v>
      </c>
      <c r="G70" s="55">
        <f t="shared" si="38"/>
        <v>0.28999999999999998</v>
      </c>
      <c r="H70" s="55">
        <f t="shared" si="39"/>
        <v>566.3957519999999</v>
      </c>
      <c r="I70" s="55">
        <f t="shared" si="40"/>
        <v>141.59893799999998</v>
      </c>
      <c r="J70" s="55">
        <f t="shared" si="41"/>
        <v>707.99468999999988</v>
      </c>
      <c r="K70" s="56">
        <f t="shared" si="42"/>
        <v>1.45</v>
      </c>
      <c r="L70" s="53">
        <f t="shared" si="43"/>
        <v>1.160544</v>
      </c>
      <c r="M70" s="53">
        <f t="shared" si="44"/>
        <v>0.29013600000000001</v>
      </c>
      <c r="N70" s="62">
        <f>0.77*1.5</f>
        <v>1.155</v>
      </c>
      <c r="O70" s="58">
        <f t="shared" si="45"/>
        <v>1.45068</v>
      </c>
      <c r="P70" s="64" t="s">
        <v>410</v>
      </c>
      <c r="Q70" s="63"/>
      <c r="R70" s="63"/>
      <c r="S70" s="63"/>
      <c r="T70" s="63"/>
      <c r="U70" s="63"/>
      <c r="V70" s="63"/>
      <c r="W70" s="63"/>
      <c r="X70" s="63"/>
      <c r="Y70" s="63"/>
      <c r="Z70" s="63"/>
      <c r="AA70" s="63"/>
      <c r="AB70" s="63"/>
      <c r="AC70" s="63"/>
      <c r="AD70" s="63"/>
      <c r="AE70" s="63"/>
    </row>
    <row r="71" spans="1:31" ht="51">
      <c r="A71" s="22" t="s">
        <v>313</v>
      </c>
      <c r="B71" s="22" t="s">
        <v>314</v>
      </c>
      <c r="C71" s="122" t="s">
        <v>315</v>
      </c>
      <c r="D71" s="22" t="s">
        <v>174</v>
      </c>
      <c r="E71" s="136">
        <f>'MEMÓRIA QUANTITATIVOS LOT 01'!E70</f>
        <v>625</v>
      </c>
      <c r="F71" s="55">
        <f t="shared" si="37"/>
        <v>36.1</v>
      </c>
      <c r="G71" s="55">
        <f t="shared" si="38"/>
        <v>9.0299999999999994</v>
      </c>
      <c r="H71" s="55">
        <f t="shared" si="39"/>
        <v>22562.5</v>
      </c>
      <c r="I71" s="55">
        <f t="shared" si="40"/>
        <v>5643.75</v>
      </c>
      <c r="J71" s="55">
        <f t="shared" si="41"/>
        <v>28206.25</v>
      </c>
      <c r="K71" s="56">
        <f t="shared" si="42"/>
        <v>45.13</v>
      </c>
      <c r="L71" s="53">
        <f t="shared" si="43"/>
        <v>36.102463999999998</v>
      </c>
      <c r="M71" s="53">
        <f t="shared" si="44"/>
        <v>9.0256159999999994</v>
      </c>
      <c r="N71" s="62">
        <v>35.93</v>
      </c>
      <c r="O71" s="58">
        <f t="shared" si="45"/>
        <v>45.128079999999997</v>
      </c>
      <c r="P71" s="64" t="s">
        <v>437</v>
      </c>
      <c r="Q71" s="63"/>
      <c r="R71" s="63"/>
      <c r="S71" s="63"/>
      <c r="T71" s="63"/>
      <c r="U71" s="63"/>
      <c r="V71" s="63"/>
      <c r="W71" s="63"/>
      <c r="X71" s="63"/>
      <c r="Y71" s="63"/>
      <c r="Z71" s="63"/>
      <c r="AA71" s="63"/>
      <c r="AB71" s="63"/>
      <c r="AC71" s="63"/>
      <c r="AD71" s="63"/>
      <c r="AE71" s="63"/>
    </row>
    <row r="72" spans="1:31" ht="18.75">
      <c r="A72" s="22" t="s">
        <v>316</v>
      </c>
      <c r="B72" s="22" t="s">
        <v>317</v>
      </c>
      <c r="C72" s="122" t="s">
        <v>318</v>
      </c>
      <c r="D72" s="22" t="s">
        <v>41</v>
      </c>
      <c r="E72" s="136">
        <f>'MEMÓRIA QUANTITATIVOS LOT 01'!E71</f>
        <v>2503.96</v>
      </c>
      <c r="F72" s="55">
        <f t="shared" si="37"/>
        <v>6.54</v>
      </c>
      <c r="G72" s="55">
        <f t="shared" si="38"/>
        <v>1.64</v>
      </c>
      <c r="H72" s="55">
        <f t="shared" si="39"/>
        <v>16375.8984</v>
      </c>
      <c r="I72" s="55">
        <f t="shared" si="40"/>
        <v>4106.4943999999996</v>
      </c>
      <c r="J72" s="55">
        <f t="shared" si="41"/>
        <v>20482.392800000001</v>
      </c>
      <c r="K72" s="56">
        <f t="shared" si="42"/>
        <v>8.18</v>
      </c>
      <c r="L72" s="53">
        <f t="shared" si="43"/>
        <v>6.5412480000000004</v>
      </c>
      <c r="M72" s="53">
        <f t="shared" si="44"/>
        <v>1.6353120000000001</v>
      </c>
      <c r="N72" s="62">
        <v>6.51</v>
      </c>
      <c r="O72" s="58">
        <f t="shared" si="45"/>
        <v>8.1765600000000003</v>
      </c>
      <c r="P72" s="141" t="s">
        <v>438</v>
      </c>
      <c r="Q72" s="63"/>
      <c r="R72" s="63"/>
      <c r="S72" s="63"/>
      <c r="T72" s="63"/>
      <c r="U72" s="63"/>
      <c r="V72" s="63"/>
      <c r="W72" s="63"/>
      <c r="X72" s="63"/>
      <c r="Y72" s="63"/>
      <c r="Z72" s="63"/>
      <c r="AA72" s="63"/>
      <c r="AB72" s="63"/>
      <c r="AC72" s="63"/>
      <c r="AD72" s="63"/>
      <c r="AE72" s="63"/>
    </row>
    <row r="73" spans="1:31" ht="18.75">
      <c r="A73" s="22" t="s">
        <v>320</v>
      </c>
      <c r="B73" s="22" t="s">
        <v>321</v>
      </c>
      <c r="C73" s="122" t="s">
        <v>322</v>
      </c>
      <c r="D73" s="22" t="s">
        <v>41</v>
      </c>
      <c r="E73" s="136">
        <f>'MEMÓRIA QUANTITATIVOS LOT 01'!E72</f>
        <v>2503.96</v>
      </c>
      <c r="F73" s="55">
        <f t="shared" si="37"/>
        <v>1.79</v>
      </c>
      <c r="G73" s="55">
        <f t="shared" si="38"/>
        <v>0.45</v>
      </c>
      <c r="H73" s="55">
        <f t="shared" si="39"/>
        <v>4482.0884000000005</v>
      </c>
      <c r="I73" s="55">
        <f t="shared" si="40"/>
        <v>1126.7820000000002</v>
      </c>
      <c r="J73" s="55">
        <f t="shared" si="41"/>
        <v>5608.8704000000007</v>
      </c>
      <c r="K73" s="56">
        <f t="shared" si="42"/>
        <v>2.2400000000000002</v>
      </c>
      <c r="L73" s="53">
        <f t="shared" si="43"/>
        <v>1.7885439999999999</v>
      </c>
      <c r="M73" s="53">
        <f t="shared" si="44"/>
        <v>0.44713599999999998</v>
      </c>
      <c r="N73" s="62">
        <v>1.78</v>
      </c>
      <c r="O73" s="58">
        <f t="shared" si="45"/>
        <v>2.2356799999999999</v>
      </c>
      <c r="P73" s="64" t="s">
        <v>439</v>
      </c>
      <c r="Q73" s="63"/>
      <c r="R73" s="63"/>
      <c r="S73" s="63"/>
      <c r="T73" s="63"/>
      <c r="U73" s="63"/>
      <c r="V73" s="63"/>
      <c r="W73" s="63"/>
      <c r="X73" s="63"/>
      <c r="Y73" s="63"/>
      <c r="Z73" s="63"/>
      <c r="AA73" s="63"/>
      <c r="AB73" s="63"/>
      <c r="AC73" s="63"/>
      <c r="AD73" s="63"/>
      <c r="AE73" s="63"/>
    </row>
    <row r="74" spans="1:31" ht="18.75">
      <c r="A74" s="22" t="s">
        <v>323</v>
      </c>
      <c r="B74" s="22" t="s">
        <v>324</v>
      </c>
      <c r="C74" s="122" t="s">
        <v>325</v>
      </c>
      <c r="D74" s="22" t="s">
        <v>47</v>
      </c>
      <c r="E74" s="136">
        <f>'MEMÓRIA QUANTITATIVOS LOT 01'!E73</f>
        <v>125.19800000000001</v>
      </c>
      <c r="F74" s="55">
        <f t="shared" si="37"/>
        <v>802.72</v>
      </c>
      <c r="G74" s="55">
        <f t="shared" si="38"/>
        <v>200.68</v>
      </c>
      <c r="H74" s="55">
        <f t="shared" si="39"/>
        <v>100498.93856000001</v>
      </c>
      <c r="I74" s="55">
        <f t="shared" si="40"/>
        <v>25124.734640000002</v>
      </c>
      <c r="J74" s="55">
        <f t="shared" si="41"/>
        <v>125623.67320000002</v>
      </c>
      <c r="K74" s="56">
        <f t="shared" si="42"/>
        <v>1003.4000000000001</v>
      </c>
      <c r="L74" s="53">
        <f t="shared" si="43"/>
        <v>802.72467200000006</v>
      </c>
      <c r="M74" s="53">
        <f t="shared" si="44"/>
        <v>200.68116800000001</v>
      </c>
      <c r="N74" s="62">
        <v>798.89</v>
      </c>
      <c r="O74" s="58">
        <f t="shared" si="45"/>
        <v>1003.40584</v>
      </c>
      <c r="P74" s="64" t="s">
        <v>440</v>
      </c>
      <c r="Q74" s="63"/>
      <c r="R74" s="63"/>
      <c r="S74" s="63"/>
      <c r="T74" s="63"/>
      <c r="U74" s="63"/>
      <c r="V74" s="63"/>
      <c r="W74" s="63"/>
      <c r="X74" s="63"/>
      <c r="Y74" s="63"/>
      <c r="Z74" s="63"/>
      <c r="AA74" s="63"/>
      <c r="AB74" s="63"/>
      <c r="AC74" s="63"/>
      <c r="AD74" s="63"/>
      <c r="AE74" s="63"/>
    </row>
    <row r="75" spans="1:31" ht="25.5">
      <c r="A75" s="22" t="s">
        <v>327</v>
      </c>
      <c r="B75" s="22" t="s">
        <v>328</v>
      </c>
      <c r="C75" s="22" t="s">
        <v>329</v>
      </c>
      <c r="D75" s="22" t="s">
        <v>47</v>
      </c>
      <c r="E75" s="136">
        <f>'MEMÓRIA QUANTITATIVOS LOT 01'!E74</f>
        <v>162.75740000000002</v>
      </c>
      <c r="F75" s="55">
        <f t="shared" si="37"/>
        <v>15.07</v>
      </c>
      <c r="G75" s="55">
        <f t="shared" si="38"/>
        <v>3.77</v>
      </c>
      <c r="H75" s="55">
        <f t="shared" si="39"/>
        <v>2452.7540180000005</v>
      </c>
      <c r="I75" s="55">
        <f t="shared" si="40"/>
        <v>613.59539800000005</v>
      </c>
      <c r="J75" s="55">
        <f t="shared" si="41"/>
        <v>3066.3494160000005</v>
      </c>
      <c r="K75" s="56">
        <f t="shared" si="42"/>
        <v>18.84</v>
      </c>
      <c r="L75" s="53">
        <f t="shared" si="43"/>
        <v>15.072000000000001</v>
      </c>
      <c r="M75" s="53">
        <f t="shared" si="44"/>
        <v>3.7680000000000002</v>
      </c>
      <c r="N75" s="143">
        <f>1*15</f>
        <v>15</v>
      </c>
      <c r="O75" s="58">
        <f t="shared" si="45"/>
        <v>18.84</v>
      </c>
      <c r="P75" s="64" t="s">
        <v>441</v>
      </c>
      <c r="Q75" s="63"/>
      <c r="R75" s="63"/>
      <c r="S75" s="63"/>
      <c r="T75" s="63"/>
      <c r="U75" s="63"/>
      <c r="V75" s="63"/>
      <c r="W75" s="63"/>
      <c r="X75" s="63"/>
      <c r="Y75" s="63"/>
      <c r="Z75" s="63"/>
      <c r="AA75" s="63"/>
      <c r="AB75" s="63"/>
      <c r="AC75" s="63"/>
      <c r="AD75" s="63"/>
      <c r="AE75" s="63"/>
    </row>
    <row r="76" spans="1:31" ht="25.5">
      <c r="A76" s="22" t="s">
        <v>330</v>
      </c>
      <c r="B76" s="22" t="s">
        <v>331</v>
      </c>
      <c r="C76" s="22" t="s">
        <v>332</v>
      </c>
      <c r="D76" s="22" t="s">
        <v>47</v>
      </c>
      <c r="E76" s="136">
        <f>'MEMÓRIA QUANTITATIVOS LOT 01'!E75</f>
        <v>162.75740000000002</v>
      </c>
      <c r="F76" s="55">
        <f t="shared" si="37"/>
        <v>5.76</v>
      </c>
      <c r="G76" s="55">
        <f t="shared" si="38"/>
        <v>1.44</v>
      </c>
      <c r="H76" s="55">
        <f t="shared" si="39"/>
        <v>937.4826240000001</v>
      </c>
      <c r="I76" s="55">
        <f t="shared" si="40"/>
        <v>234.37065600000003</v>
      </c>
      <c r="J76" s="55">
        <f t="shared" si="41"/>
        <v>1171.85328</v>
      </c>
      <c r="K76" s="56">
        <f t="shared" si="42"/>
        <v>7.1999999999999993</v>
      </c>
      <c r="L76" s="53">
        <f t="shared" si="43"/>
        <v>5.7575040000000008</v>
      </c>
      <c r="M76" s="53">
        <f t="shared" si="44"/>
        <v>1.4393760000000002</v>
      </c>
      <c r="N76" s="62">
        <v>5.73</v>
      </c>
      <c r="O76" s="58">
        <f t="shared" si="45"/>
        <v>7.1968800000000002</v>
      </c>
      <c r="P76" s="64" t="s">
        <v>442</v>
      </c>
      <c r="Q76" s="63"/>
      <c r="R76" s="63"/>
      <c r="S76" s="63"/>
      <c r="T76" s="63"/>
      <c r="U76" s="63"/>
      <c r="V76" s="63"/>
      <c r="W76" s="63"/>
      <c r="X76" s="63"/>
      <c r="Y76" s="63"/>
      <c r="Z76" s="63"/>
      <c r="AA76" s="63"/>
      <c r="AB76" s="63"/>
      <c r="AC76" s="63"/>
      <c r="AD76" s="63"/>
      <c r="AE76" s="63"/>
    </row>
    <row r="77" spans="1:31" ht="18.75">
      <c r="A77" s="113">
        <v>7</v>
      </c>
      <c r="B77" s="18"/>
      <c r="C77" s="18" t="s">
        <v>333</v>
      </c>
      <c r="D77" s="18"/>
      <c r="E77" s="18"/>
      <c r="F77" s="138"/>
      <c r="G77" s="138"/>
      <c r="H77" s="138"/>
      <c r="I77" s="138"/>
      <c r="J77" s="138"/>
      <c r="K77" s="56">
        <f t="shared" si="42"/>
        <v>0</v>
      </c>
      <c r="L77" s="53">
        <f t="shared" si="43"/>
        <v>0</v>
      </c>
      <c r="M77" s="53">
        <f t="shared" si="44"/>
        <v>0</v>
      </c>
      <c r="N77" s="62"/>
      <c r="O77" s="58">
        <f t="shared" si="45"/>
        <v>0</v>
      </c>
      <c r="P77" s="63"/>
      <c r="Q77" s="63"/>
      <c r="R77" s="63"/>
      <c r="S77" s="63"/>
      <c r="T77" s="63"/>
      <c r="U77" s="63"/>
      <c r="V77" s="63"/>
      <c r="W77" s="63"/>
      <c r="X77" s="63"/>
      <c r="Y77" s="63"/>
      <c r="Z77" s="63"/>
      <c r="AA77" s="63"/>
      <c r="AB77" s="63"/>
      <c r="AC77" s="63"/>
      <c r="AD77" s="63"/>
      <c r="AE77" s="63"/>
    </row>
    <row r="78" spans="1:31" ht="18.75">
      <c r="A78" s="22" t="s">
        <v>334</v>
      </c>
      <c r="B78" s="119" t="s">
        <v>335</v>
      </c>
      <c r="C78" s="22" t="s">
        <v>336</v>
      </c>
      <c r="D78" s="22" t="s">
        <v>41</v>
      </c>
      <c r="E78" s="136">
        <f>'MEMÓRIA QUANTITATIVOS LOT 01'!E77</f>
        <v>952.5</v>
      </c>
      <c r="F78" s="55">
        <f t="shared" ref="F78:F81" si="46">ROUND(L78,2)</f>
        <v>3.94</v>
      </c>
      <c r="G78" s="55">
        <f t="shared" ref="G78:G82" si="47">ROUND(M78,2)</f>
        <v>0.98</v>
      </c>
      <c r="H78" s="55">
        <f t="shared" ref="H78:H82" si="48">E78*F78</f>
        <v>3752.85</v>
      </c>
      <c r="I78" s="55">
        <f t="shared" ref="I78:I82" si="49">E78*G78</f>
        <v>933.44999999999993</v>
      </c>
      <c r="J78" s="55">
        <f t="shared" ref="J78:J82" si="50">I78+H78</f>
        <v>4686.3</v>
      </c>
      <c r="K78" s="56">
        <f t="shared" si="42"/>
        <v>4.92</v>
      </c>
      <c r="L78" s="53">
        <f t="shared" si="43"/>
        <v>3.9388160000000001</v>
      </c>
      <c r="M78" s="53">
        <f t="shared" si="44"/>
        <v>0.98470400000000002</v>
      </c>
      <c r="N78" s="62">
        <v>3.92</v>
      </c>
      <c r="O78" s="58">
        <f t="shared" si="45"/>
        <v>4.9235199999999999</v>
      </c>
      <c r="P78" s="141" t="s">
        <v>443</v>
      </c>
      <c r="Q78" s="63"/>
      <c r="R78" s="63"/>
      <c r="S78" s="63"/>
      <c r="T78" s="63"/>
      <c r="U78" s="63"/>
      <c r="V78" s="63"/>
      <c r="W78" s="63"/>
      <c r="X78" s="63"/>
      <c r="Y78" s="63"/>
      <c r="Z78" s="63"/>
      <c r="AA78" s="63"/>
      <c r="AB78" s="63"/>
      <c r="AC78" s="63"/>
      <c r="AD78" s="63"/>
      <c r="AE78" s="63"/>
    </row>
    <row r="79" spans="1:31" ht="18.75">
      <c r="A79" s="22" t="s">
        <v>338</v>
      </c>
      <c r="B79" s="126" t="s">
        <v>339</v>
      </c>
      <c r="C79" s="127" t="s">
        <v>340</v>
      </c>
      <c r="D79" s="127" t="s">
        <v>47</v>
      </c>
      <c r="E79" s="136">
        <f>'MEMÓRIA QUANTITATIVOS LOT 01'!E78</f>
        <v>10</v>
      </c>
      <c r="F79" s="55">
        <f t="shared" si="46"/>
        <v>480.03</v>
      </c>
      <c r="G79" s="55">
        <f t="shared" si="47"/>
        <v>120.01</v>
      </c>
      <c r="H79" s="144">
        <f t="shared" si="48"/>
        <v>4800.2999999999993</v>
      </c>
      <c r="I79" s="144">
        <f t="shared" si="49"/>
        <v>1200.1000000000001</v>
      </c>
      <c r="J79" s="144">
        <f t="shared" si="50"/>
        <v>6000.4</v>
      </c>
      <c r="K79" s="56">
        <f t="shared" si="42"/>
        <v>600.04</v>
      </c>
      <c r="L79" s="53">
        <f t="shared" si="43"/>
        <v>480.03315199999997</v>
      </c>
      <c r="M79" s="53">
        <f t="shared" si="44"/>
        <v>120.00828799999999</v>
      </c>
      <c r="N79" s="62">
        <v>477.74</v>
      </c>
      <c r="O79" s="58">
        <f t="shared" si="45"/>
        <v>600.04143999999997</v>
      </c>
      <c r="P79" s="141" t="s">
        <v>444</v>
      </c>
      <c r="Q79" s="63"/>
      <c r="R79" s="63"/>
      <c r="S79" s="63"/>
      <c r="T79" s="63"/>
      <c r="U79" s="63"/>
      <c r="V79" s="63"/>
      <c r="W79" s="63"/>
      <c r="X79" s="63"/>
      <c r="Y79" s="63"/>
      <c r="Z79" s="63"/>
      <c r="AA79" s="63"/>
      <c r="AB79" s="63"/>
      <c r="AC79" s="63"/>
      <c r="AD79" s="63"/>
      <c r="AE79" s="63"/>
    </row>
    <row r="80" spans="1:31" ht="37.5">
      <c r="A80" s="22" t="s">
        <v>341</v>
      </c>
      <c r="B80" s="119" t="s">
        <v>342</v>
      </c>
      <c r="C80" s="29" t="s">
        <v>343</v>
      </c>
      <c r="D80" s="22" t="s">
        <v>41</v>
      </c>
      <c r="E80" s="136">
        <f>'MEMÓRIA QUANTITATIVOS LOT 01'!E79</f>
        <v>883</v>
      </c>
      <c r="F80" s="55">
        <f t="shared" si="46"/>
        <v>49.12</v>
      </c>
      <c r="G80" s="55">
        <f t="shared" si="47"/>
        <v>12.28</v>
      </c>
      <c r="H80" s="55">
        <f t="shared" si="48"/>
        <v>43372.959999999999</v>
      </c>
      <c r="I80" s="55">
        <f t="shared" si="49"/>
        <v>10843.24</v>
      </c>
      <c r="J80" s="55">
        <f t="shared" si="50"/>
        <v>54216.2</v>
      </c>
      <c r="K80" s="56">
        <f t="shared" si="42"/>
        <v>61.4</v>
      </c>
      <c r="L80" s="53">
        <f t="shared" si="43"/>
        <v>49.124672000000004</v>
      </c>
      <c r="M80" s="53">
        <f t="shared" si="44"/>
        <v>12.281168000000001</v>
      </c>
      <c r="N80" s="62">
        <v>48.89</v>
      </c>
      <c r="O80" s="58">
        <f t="shared" si="45"/>
        <v>61.405839999999998</v>
      </c>
      <c r="P80" s="64" t="s">
        <v>445</v>
      </c>
      <c r="Q80" s="63"/>
      <c r="R80" s="63"/>
      <c r="S80" s="63"/>
      <c r="T80" s="63"/>
      <c r="U80" s="63"/>
      <c r="V80" s="63"/>
      <c r="W80" s="63"/>
      <c r="X80" s="63"/>
      <c r="Y80" s="63"/>
      <c r="Z80" s="63"/>
      <c r="AA80" s="63"/>
      <c r="AB80" s="63"/>
      <c r="AC80" s="63"/>
      <c r="AD80" s="63"/>
      <c r="AE80" s="63"/>
    </row>
    <row r="81" spans="1:31" ht="18.75">
      <c r="A81" s="22" t="s">
        <v>345</v>
      </c>
      <c r="B81" s="119" t="s">
        <v>346</v>
      </c>
      <c r="C81" s="22" t="s">
        <v>347</v>
      </c>
      <c r="D81" s="22" t="s">
        <v>41</v>
      </c>
      <c r="E81" s="136">
        <f>'MEMÓRIA QUANTITATIVOS LOT 01'!E80</f>
        <v>69.5</v>
      </c>
      <c r="F81" s="55">
        <f t="shared" si="46"/>
        <v>60.29</v>
      </c>
      <c r="G81" s="55">
        <f t="shared" si="47"/>
        <v>15.07</v>
      </c>
      <c r="H81" s="55">
        <f t="shared" si="48"/>
        <v>4190.1549999999997</v>
      </c>
      <c r="I81" s="55">
        <f t="shared" si="49"/>
        <v>1047.365</v>
      </c>
      <c r="J81" s="55">
        <f t="shared" si="50"/>
        <v>5237.5199999999995</v>
      </c>
      <c r="K81" s="56">
        <f t="shared" si="42"/>
        <v>75.36</v>
      </c>
      <c r="L81" s="53">
        <f t="shared" si="43"/>
        <v>60.288000000000004</v>
      </c>
      <c r="M81" s="53">
        <f t="shared" si="44"/>
        <v>15.072000000000001</v>
      </c>
      <c r="N81" s="62">
        <v>60</v>
      </c>
      <c r="O81" s="58">
        <f t="shared" si="45"/>
        <v>75.36</v>
      </c>
      <c r="P81" s="145" t="s">
        <v>446</v>
      </c>
      <c r="Q81" s="63"/>
      <c r="R81" s="63"/>
      <c r="S81" s="63"/>
      <c r="T81" s="63"/>
      <c r="U81" s="63"/>
      <c r="V81" s="63"/>
      <c r="W81" s="63"/>
      <c r="X81" s="63"/>
      <c r="Y81" s="63"/>
      <c r="Z81" s="63"/>
      <c r="AA81" s="63"/>
      <c r="AB81" s="63"/>
      <c r="AC81" s="63"/>
      <c r="AD81" s="63"/>
      <c r="AE81" s="63"/>
    </row>
    <row r="82" spans="1:31" ht="18.75">
      <c r="A82" s="22" t="s">
        <v>348</v>
      </c>
      <c r="B82" s="119" t="s">
        <v>349</v>
      </c>
      <c r="C82" s="22" t="s">
        <v>350</v>
      </c>
      <c r="D82" s="22" t="s">
        <v>41</v>
      </c>
      <c r="E82" s="136">
        <f>'MEMÓRIA QUANTITATIVOS LOT 01'!E81</f>
        <v>2140.38</v>
      </c>
      <c r="F82" s="55">
        <v>13.28</v>
      </c>
      <c r="G82" s="55">
        <f t="shared" si="47"/>
        <v>3.39</v>
      </c>
      <c r="H82" s="55">
        <f t="shared" si="48"/>
        <v>28424.2464</v>
      </c>
      <c r="I82" s="55">
        <f t="shared" si="49"/>
        <v>7255.8882000000003</v>
      </c>
      <c r="J82" s="55">
        <f t="shared" si="50"/>
        <v>35680.134599999998</v>
      </c>
      <c r="K82" s="56">
        <f t="shared" si="42"/>
        <v>16.669999999999998</v>
      </c>
      <c r="L82" s="53">
        <f t="shared" si="43"/>
        <v>13.5648</v>
      </c>
      <c r="M82" s="53">
        <f t="shared" si="44"/>
        <v>3.3912</v>
      </c>
      <c r="N82" s="62">
        <v>13.5</v>
      </c>
      <c r="O82" s="58">
        <f t="shared" si="45"/>
        <v>16.956</v>
      </c>
      <c r="P82" s="141" t="s">
        <v>447</v>
      </c>
      <c r="Q82" s="63"/>
      <c r="R82" s="63"/>
      <c r="S82" s="63"/>
      <c r="T82" s="63"/>
      <c r="U82" s="63"/>
      <c r="V82" s="63"/>
      <c r="W82" s="63"/>
      <c r="X82" s="63"/>
      <c r="Y82" s="63"/>
      <c r="Z82" s="63"/>
      <c r="AA82" s="63"/>
      <c r="AB82" s="63"/>
      <c r="AC82" s="63"/>
      <c r="AD82" s="63"/>
      <c r="AE82" s="63"/>
    </row>
    <row r="83" spans="1:31" ht="18.75">
      <c r="A83" s="113">
        <v>8</v>
      </c>
      <c r="B83" s="18"/>
      <c r="C83" s="18" t="s">
        <v>352</v>
      </c>
      <c r="D83" s="18"/>
      <c r="E83" s="18"/>
      <c r="F83" s="138"/>
      <c r="G83" s="138"/>
      <c r="H83" s="138"/>
      <c r="I83" s="138"/>
      <c r="J83" s="138"/>
      <c r="K83" s="56">
        <f t="shared" si="42"/>
        <v>0</v>
      </c>
      <c r="L83" s="53">
        <f t="shared" si="43"/>
        <v>0</v>
      </c>
      <c r="M83" s="53">
        <f t="shared" si="44"/>
        <v>0</v>
      </c>
      <c r="N83" s="67"/>
      <c r="O83" s="58">
        <f t="shared" si="45"/>
        <v>0</v>
      </c>
      <c r="P83" s="67" t="s">
        <v>448</v>
      </c>
      <c r="Q83" s="67"/>
      <c r="R83" s="67"/>
      <c r="S83" s="67"/>
      <c r="T83" s="67"/>
      <c r="U83" s="67"/>
      <c r="V83" s="67"/>
      <c r="W83" s="67"/>
      <c r="X83" s="67"/>
      <c r="Y83" s="67"/>
      <c r="Z83" s="67"/>
      <c r="AA83" s="67"/>
      <c r="AB83" s="67"/>
      <c r="AC83" s="67"/>
      <c r="AD83" s="67"/>
      <c r="AE83" s="67"/>
    </row>
    <row r="84" spans="1:31" ht="30">
      <c r="A84" s="114" t="s">
        <v>353</v>
      </c>
      <c r="B84" s="119" t="s">
        <v>354</v>
      </c>
      <c r="C84" s="122" t="s">
        <v>355</v>
      </c>
      <c r="D84" s="22" t="s">
        <v>41</v>
      </c>
      <c r="E84" s="136">
        <f>'MEMÓRIA QUANTITATIVOS LOT 01'!E83</f>
        <v>143.36999999999998</v>
      </c>
      <c r="F84" s="55">
        <f t="shared" ref="F84:F91" si="51">ROUND(L84,2)</f>
        <v>25.82</v>
      </c>
      <c r="G84" s="55">
        <f t="shared" ref="G84:G91" si="52">ROUND(M84,2)</f>
        <v>6.46</v>
      </c>
      <c r="H84" s="55">
        <f t="shared" ref="H84:H91" si="53">E84*F84</f>
        <v>3701.8133999999995</v>
      </c>
      <c r="I84" s="55">
        <f t="shared" ref="I84:I91" si="54">E84*G84</f>
        <v>926.1701999999998</v>
      </c>
      <c r="J84" s="55">
        <f t="shared" ref="J84:J91" si="55">I84+H84</f>
        <v>4627.9835999999996</v>
      </c>
      <c r="K84" s="56">
        <f t="shared" si="42"/>
        <v>32.28</v>
      </c>
      <c r="L84" s="53">
        <f t="shared" si="43"/>
        <v>25.823359999999997</v>
      </c>
      <c r="M84" s="53">
        <f t="shared" si="44"/>
        <v>6.4558399999999994</v>
      </c>
      <c r="N84" s="57">
        <v>25.7</v>
      </c>
      <c r="O84" s="58">
        <f t="shared" si="45"/>
        <v>32.279199999999996</v>
      </c>
      <c r="P84" s="57" t="s">
        <v>449</v>
      </c>
      <c r="Q84" s="57"/>
      <c r="R84" s="57"/>
      <c r="S84" s="57"/>
      <c r="T84" s="57"/>
      <c r="U84" s="57"/>
      <c r="V84" s="57"/>
      <c r="W84" s="57"/>
      <c r="X84" s="57"/>
      <c r="Y84" s="57"/>
      <c r="Z84" s="57"/>
      <c r="AA84" s="57"/>
      <c r="AB84" s="57"/>
      <c r="AC84" s="57"/>
      <c r="AD84" s="57"/>
      <c r="AE84" s="57"/>
    </row>
    <row r="85" spans="1:31" ht="18.75">
      <c r="A85" s="114" t="s">
        <v>357</v>
      </c>
      <c r="B85" s="119" t="s">
        <v>358</v>
      </c>
      <c r="C85" s="22" t="s">
        <v>359</v>
      </c>
      <c r="D85" s="22" t="s">
        <v>41</v>
      </c>
      <c r="E85" s="136">
        <f>'MEMÓRIA QUANTITATIVOS LOT 01'!E84</f>
        <v>168.75</v>
      </c>
      <c r="F85" s="55">
        <f t="shared" si="51"/>
        <v>3.11</v>
      </c>
      <c r="G85" s="55">
        <f t="shared" si="52"/>
        <v>0.78</v>
      </c>
      <c r="H85" s="55">
        <f t="shared" si="53"/>
        <v>524.8125</v>
      </c>
      <c r="I85" s="55">
        <f t="shared" si="54"/>
        <v>131.625</v>
      </c>
      <c r="J85" s="55">
        <f t="shared" si="55"/>
        <v>656.4375</v>
      </c>
      <c r="K85" s="56">
        <f t="shared" si="42"/>
        <v>3.8899999999999997</v>
      </c>
      <c r="L85" s="53">
        <f t="shared" si="43"/>
        <v>3.1148800000000003</v>
      </c>
      <c r="M85" s="53">
        <f t="shared" si="44"/>
        <v>0.77872000000000008</v>
      </c>
      <c r="N85" s="57">
        <v>3.1</v>
      </c>
      <c r="O85" s="58">
        <f t="shared" si="45"/>
        <v>3.8936000000000002</v>
      </c>
      <c r="P85" s="57" t="s">
        <v>450</v>
      </c>
      <c r="Q85" s="57"/>
      <c r="R85" s="57"/>
      <c r="S85" s="57"/>
      <c r="T85" s="57"/>
      <c r="U85" s="57"/>
      <c r="V85" s="57"/>
      <c r="W85" s="57"/>
      <c r="X85" s="57"/>
      <c r="Y85" s="57"/>
      <c r="Z85" s="57"/>
      <c r="AA85" s="57"/>
      <c r="AB85" s="57"/>
      <c r="AC85" s="57"/>
      <c r="AD85" s="57"/>
      <c r="AE85" s="57"/>
    </row>
    <row r="86" spans="1:31" ht="18.75">
      <c r="A86" s="114" t="s">
        <v>361</v>
      </c>
      <c r="B86" s="119" t="s">
        <v>272</v>
      </c>
      <c r="C86" s="122" t="s">
        <v>362</v>
      </c>
      <c r="D86" s="22" t="s">
        <v>20</v>
      </c>
      <c r="E86" s="136">
        <f>'MEMÓRIA QUANTITATIVOS LOT 01'!E85</f>
        <v>1</v>
      </c>
      <c r="F86" s="55" t="e">
        <f t="shared" si="51"/>
        <v>#REF!</v>
      </c>
      <c r="G86" s="55" t="e">
        <f t="shared" si="52"/>
        <v>#REF!</v>
      </c>
      <c r="H86" s="55" t="e">
        <f t="shared" si="53"/>
        <v>#REF!</v>
      </c>
      <c r="I86" s="55" t="e">
        <f t="shared" si="54"/>
        <v>#REF!</v>
      </c>
      <c r="J86" s="55" t="e">
        <f t="shared" si="55"/>
        <v>#REF!</v>
      </c>
      <c r="K86" s="56" t="e">
        <f t="shared" si="42"/>
        <v>#REF!</v>
      </c>
      <c r="L86" s="53" t="e">
        <f t="shared" si="43"/>
        <v>#REF!</v>
      </c>
      <c r="M86" s="53" t="e">
        <f t="shared" si="44"/>
        <v>#REF!</v>
      </c>
      <c r="N86" s="146" t="e">
        <f>#REF!</f>
        <v>#REF!</v>
      </c>
      <c r="O86" s="58" t="e">
        <f t="shared" si="45"/>
        <v>#REF!</v>
      </c>
      <c r="P86" s="57" t="s">
        <v>430</v>
      </c>
      <c r="Q86" s="57"/>
      <c r="R86" s="57"/>
      <c r="S86" s="57"/>
      <c r="T86" s="57"/>
      <c r="U86" s="57"/>
      <c r="V86" s="57"/>
      <c r="W86" s="57"/>
      <c r="X86" s="57"/>
      <c r="Y86" s="57"/>
      <c r="Z86" s="57"/>
      <c r="AA86" s="57"/>
      <c r="AB86" s="57"/>
      <c r="AC86" s="57"/>
      <c r="AD86" s="57"/>
      <c r="AE86" s="57"/>
    </row>
    <row r="87" spans="1:31" ht="18.75">
      <c r="A87" s="114" t="s">
        <v>363</v>
      </c>
      <c r="B87" s="119" t="s">
        <v>272</v>
      </c>
      <c r="C87" s="122" t="s">
        <v>364</v>
      </c>
      <c r="D87" s="22" t="s">
        <v>20</v>
      </c>
      <c r="E87" s="136">
        <f>'MEMÓRIA QUANTITATIVOS LOT 01'!E86</f>
        <v>4</v>
      </c>
      <c r="F87" s="55" t="e">
        <f t="shared" si="51"/>
        <v>#REF!</v>
      </c>
      <c r="G87" s="55" t="e">
        <f t="shared" si="52"/>
        <v>#REF!</v>
      </c>
      <c r="H87" s="55" t="e">
        <f t="shared" si="53"/>
        <v>#REF!</v>
      </c>
      <c r="I87" s="55" t="e">
        <f t="shared" si="54"/>
        <v>#REF!</v>
      </c>
      <c r="J87" s="55" t="e">
        <f t="shared" si="55"/>
        <v>#REF!</v>
      </c>
      <c r="K87" s="56" t="e">
        <f t="shared" si="42"/>
        <v>#REF!</v>
      </c>
      <c r="L87" s="53" t="e">
        <f t="shared" si="43"/>
        <v>#REF!</v>
      </c>
      <c r="M87" s="53" t="e">
        <f t="shared" si="44"/>
        <v>#REF!</v>
      </c>
      <c r="N87" s="146" t="e">
        <f>#REF!</f>
        <v>#REF!</v>
      </c>
      <c r="O87" s="58" t="e">
        <f t="shared" si="45"/>
        <v>#REF!</v>
      </c>
      <c r="P87" s="57" t="s">
        <v>430</v>
      </c>
      <c r="Q87" s="57"/>
      <c r="R87" s="57"/>
      <c r="S87" s="57"/>
      <c r="T87" s="57"/>
      <c r="U87" s="57"/>
      <c r="V87" s="57"/>
      <c r="W87" s="57"/>
      <c r="X87" s="57"/>
      <c r="Y87" s="57"/>
      <c r="Z87" s="57"/>
      <c r="AA87" s="57"/>
      <c r="AB87" s="57"/>
      <c r="AC87" s="57"/>
      <c r="AD87" s="57"/>
      <c r="AE87" s="57"/>
    </row>
    <row r="88" spans="1:31" ht="18.75">
      <c r="A88" s="114" t="s">
        <v>365</v>
      </c>
      <c r="B88" s="119" t="s">
        <v>272</v>
      </c>
      <c r="C88" s="122" t="s">
        <v>366</v>
      </c>
      <c r="D88" s="22" t="s">
        <v>20</v>
      </c>
      <c r="E88" s="136">
        <f>'MEMÓRIA QUANTITATIVOS LOT 01'!E87</f>
        <v>1</v>
      </c>
      <c r="F88" s="55" t="e">
        <f t="shared" si="51"/>
        <v>#REF!</v>
      </c>
      <c r="G88" s="55" t="e">
        <f t="shared" si="52"/>
        <v>#REF!</v>
      </c>
      <c r="H88" s="55" t="e">
        <f t="shared" si="53"/>
        <v>#REF!</v>
      </c>
      <c r="I88" s="55" t="e">
        <f t="shared" si="54"/>
        <v>#REF!</v>
      </c>
      <c r="J88" s="55" t="e">
        <f t="shared" si="55"/>
        <v>#REF!</v>
      </c>
      <c r="K88" s="56" t="e">
        <f t="shared" si="42"/>
        <v>#REF!</v>
      </c>
      <c r="L88" s="53" t="e">
        <f t="shared" si="43"/>
        <v>#REF!</v>
      </c>
      <c r="M88" s="53" t="e">
        <f t="shared" si="44"/>
        <v>#REF!</v>
      </c>
      <c r="N88" s="146" t="e">
        <f>#REF!</f>
        <v>#REF!</v>
      </c>
      <c r="O88" s="58" t="e">
        <f t="shared" si="45"/>
        <v>#REF!</v>
      </c>
      <c r="P88" s="57" t="s">
        <v>430</v>
      </c>
      <c r="Q88" s="57"/>
      <c r="R88" s="57"/>
      <c r="S88" s="57"/>
      <c r="T88" s="57"/>
      <c r="U88" s="57"/>
      <c r="V88" s="57"/>
      <c r="W88" s="57"/>
      <c r="X88" s="57"/>
      <c r="Y88" s="57"/>
      <c r="Z88" s="57"/>
      <c r="AA88" s="57"/>
      <c r="AB88" s="57"/>
      <c r="AC88" s="57"/>
      <c r="AD88" s="57"/>
      <c r="AE88" s="57"/>
    </row>
    <row r="89" spans="1:31" ht="18.75">
      <c r="A89" s="114" t="s">
        <v>367</v>
      </c>
      <c r="B89" s="119" t="s">
        <v>368</v>
      </c>
      <c r="C89" s="122" t="s">
        <v>369</v>
      </c>
      <c r="D89" s="22" t="s">
        <v>41</v>
      </c>
      <c r="E89" s="136">
        <f>'MEMÓRIA QUANTITATIVOS LOT 01'!E88</f>
        <v>1</v>
      </c>
      <c r="F89" s="55">
        <f t="shared" si="51"/>
        <v>232.7</v>
      </c>
      <c r="G89" s="55">
        <f t="shared" si="52"/>
        <v>58.18</v>
      </c>
      <c r="H89" s="55">
        <f t="shared" si="53"/>
        <v>232.7</v>
      </c>
      <c r="I89" s="55">
        <f t="shared" si="54"/>
        <v>58.18</v>
      </c>
      <c r="J89" s="55">
        <f t="shared" si="55"/>
        <v>290.88</v>
      </c>
      <c r="K89" s="56">
        <f t="shared" si="42"/>
        <v>290.88</v>
      </c>
      <c r="L89" s="53">
        <f t="shared" si="43"/>
        <v>232.70163200000002</v>
      </c>
      <c r="M89" s="53">
        <f t="shared" si="44"/>
        <v>58.175408000000004</v>
      </c>
      <c r="N89" s="57">
        <v>231.59</v>
      </c>
      <c r="O89" s="58">
        <f t="shared" si="45"/>
        <v>290.87704000000002</v>
      </c>
      <c r="P89" s="57" t="s">
        <v>404</v>
      </c>
      <c r="Q89" s="57"/>
      <c r="R89" s="57"/>
      <c r="S89" s="57"/>
      <c r="T89" s="57"/>
      <c r="U89" s="57"/>
      <c r="V89" s="57"/>
      <c r="W89" s="57"/>
      <c r="X89" s="57"/>
      <c r="Y89" s="57"/>
      <c r="Z89" s="57"/>
      <c r="AA89" s="57"/>
      <c r="AB89" s="57"/>
      <c r="AC89" s="57"/>
      <c r="AD89" s="57"/>
      <c r="AE89" s="57"/>
    </row>
    <row r="90" spans="1:31" ht="18.75">
      <c r="A90" s="114" t="s">
        <v>371</v>
      </c>
      <c r="B90" s="119" t="s">
        <v>372</v>
      </c>
      <c r="C90" s="22" t="s">
        <v>373</v>
      </c>
      <c r="D90" s="22" t="s">
        <v>20</v>
      </c>
      <c r="E90" s="136">
        <f>'MEMÓRIA QUANTITATIVOS LOT 01'!E89</f>
        <v>3</v>
      </c>
      <c r="F90" s="55">
        <f t="shared" si="51"/>
        <v>278.29000000000002</v>
      </c>
      <c r="G90" s="55">
        <f t="shared" si="52"/>
        <v>69.569999999999993</v>
      </c>
      <c r="H90" s="55">
        <f t="shared" si="53"/>
        <v>834.87000000000012</v>
      </c>
      <c r="I90" s="55">
        <f t="shared" si="54"/>
        <v>208.70999999999998</v>
      </c>
      <c r="J90" s="55">
        <f t="shared" si="55"/>
        <v>1043.5800000000002</v>
      </c>
      <c r="K90" s="56">
        <f t="shared" si="42"/>
        <v>347.86</v>
      </c>
      <c r="L90" s="53">
        <f t="shared" si="43"/>
        <v>278.28940800000004</v>
      </c>
      <c r="M90" s="53">
        <f t="shared" si="44"/>
        <v>69.572352000000009</v>
      </c>
      <c r="N90" s="57">
        <f>59.96+217</f>
        <v>276.95999999999998</v>
      </c>
      <c r="O90" s="58">
        <f t="shared" si="45"/>
        <v>347.86176</v>
      </c>
      <c r="P90" s="57" t="s">
        <v>451</v>
      </c>
      <c r="Q90" s="57"/>
      <c r="R90" s="57"/>
      <c r="S90" s="57"/>
      <c r="T90" s="57"/>
      <c r="U90" s="57"/>
      <c r="V90" s="57"/>
      <c r="W90" s="57"/>
      <c r="X90" s="57"/>
      <c r="Y90" s="57"/>
      <c r="Z90" s="57"/>
      <c r="AA90" s="57"/>
      <c r="AB90" s="57"/>
      <c r="AC90" s="57"/>
      <c r="AD90" s="57"/>
      <c r="AE90" s="57"/>
    </row>
    <row r="91" spans="1:31" ht="18.75">
      <c r="A91" s="114" t="s">
        <v>374</v>
      </c>
      <c r="B91" s="119" t="s">
        <v>375</v>
      </c>
      <c r="C91" s="22" t="s">
        <v>376</v>
      </c>
      <c r="D91" s="22" t="s">
        <v>174</v>
      </c>
      <c r="E91" s="136">
        <f>'MEMÓRIA QUANTITATIVOS LOT 01'!E90</f>
        <v>20</v>
      </c>
      <c r="F91" s="55">
        <f t="shared" si="51"/>
        <v>326.56</v>
      </c>
      <c r="G91" s="55">
        <f t="shared" si="52"/>
        <v>81.64</v>
      </c>
      <c r="H91" s="55">
        <f t="shared" si="53"/>
        <v>6531.2</v>
      </c>
      <c r="I91" s="55">
        <f t="shared" si="54"/>
        <v>1632.8</v>
      </c>
      <c r="J91" s="55">
        <f t="shared" si="55"/>
        <v>8164</v>
      </c>
      <c r="K91" s="56">
        <f t="shared" si="42"/>
        <v>408.2</v>
      </c>
      <c r="L91" s="53">
        <f t="shared" si="43"/>
        <v>326.56</v>
      </c>
      <c r="M91" s="53">
        <f t="shared" si="44"/>
        <v>81.64</v>
      </c>
      <c r="N91" s="57">
        <v>325</v>
      </c>
      <c r="O91" s="58">
        <f t="shared" si="45"/>
        <v>408.2</v>
      </c>
      <c r="P91" s="39" t="s">
        <v>452</v>
      </c>
      <c r="Q91" s="57"/>
      <c r="R91" s="57"/>
      <c r="S91" s="57"/>
      <c r="T91" s="57"/>
      <c r="U91" s="57"/>
      <c r="V91" s="57"/>
      <c r="W91" s="57"/>
      <c r="X91" s="57"/>
      <c r="Y91" s="57"/>
      <c r="Z91" s="57"/>
      <c r="AA91" s="57"/>
      <c r="AB91" s="57"/>
      <c r="AC91" s="57"/>
      <c r="AD91" s="57"/>
      <c r="AE91" s="57"/>
    </row>
    <row r="92" spans="1:31" ht="18.75">
      <c r="A92" s="113">
        <v>9</v>
      </c>
      <c r="B92" s="18"/>
      <c r="C92" s="18" t="s">
        <v>378</v>
      </c>
      <c r="D92" s="18"/>
      <c r="E92" s="136"/>
      <c r="F92" s="138"/>
      <c r="G92" s="138"/>
      <c r="H92" s="138"/>
      <c r="I92" s="138"/>
      <c r="J92" s="138"/>
      <c r="K92" s="56"/>
      <c r="L92" s="53"/>
      <c r="M92" s="53"/>
      <c r="N92" s="67"/>
      <c r="O92" s="58"/>
      <c r="P92" s="67"/>
      <c r="Q92" s="57"/>
      <c r="R92" s="57"/>
      <c r="S92" s="57"/>
      <c r="T92" s="57"/>
      <c r="U92" s="57"/>
      <c r="V92" s="57"/>
      <c r="W92" s="57"/>
      <c r="X92" s="57"/>
      <c r="Y92" s="57"/>
      <c r="Z92" s="57"/>
      <c r="AA92" s="57"/>
      <c r="AB92" s="57"/>
      <c r="AC92" s="57"/>
      <c r="AD92" s="57"/>
      <c r="AE92" s="57"/>
    </row>
    <row r="93" spans="1:31" ht="18.75">
      <c r="A93" s="104" t="s">
        <v>379</v>
      </c>
      <c r="B93" s="104" t="s">
        <v>164</v>
      </c>
      <c r="C93" s="104" t="s">
        <v>380</v>
      </c>
      <c r="D93" s="105" t="s">
        <v>41</v>
      </c>
      <c r="E93" s="136" t="e">
        <f>'MEMÓRIA QUANTITATIVOS LOT 01'!E92</f>
        <v>#REF!</v>
      </c>
      <c r="F93" s="55">
        <f t="shared" ref="F93:F94" si="56">ROUND(L93,2)</f>
        <v>0.38</v>
      </c>
      <c r="G93" s="55">
        <f t="shared" ref="G93:G94" si="57">ROUND(M93,2)</f>
        <v>0.1</v>
      </c>
      <c r="H93" s="55" t="e">
        <f t="shared" ref="H93:H94" si="58">E93*F93</f>
        <v>#REF!</v>
      </c>
      <c r="I93" s="55" t="e">
        <f t="shared" ref="I93:I94" si="59">E93*G93</f>
        <v>#REF!</v>
      </c>
      <c r="J93" s="55" t="e">
        <f t="shared" ref="J93:J94" si="60">I93+H93</f>
        <v>#REF!</v>
      </c>
      <c r="K93" s="56">
        <f t="shared" ref="K93:K94" si="61">F93+G93</f>
        <v>0.48</v>
      </c>
      <c r="L93" s="53">
        <f t="shared" ref="L93:L94" si="62">O93*0.8</f>
        <v>0.381824</v>
      </c>
      <c r="M93" s="53">
        <f t="shared" ref="M93:M94" si="63">O93*0.2</f>
        <v>9.5455999999999999E-2</v>
      </c>
      <c r="N93" s="147">
        <v>0.38</v>
      </c>
      <c r="O93" s="58">
        <f t="shared" ref="O93:O94" si="64">N93*1.256</f>
        <v>0.47727999999999998</v>
      </c>
      <c r="P93" s="104" t="s">
        <v>380</v>
      </c>
      <c r="Q93" s="67"/>
      <c r="R93" s="67"/>
      <c r="S93" s="67"/>
      <c r="T93" s="67"/>
      <c r="U93" s="67"/>
      <c r="V93" s="67"/>
      <c r="W93" s="67"/>
      <c r="X93" s="67"/>
      <c r="Y93" s="67"/>
      <c r="Z93" s="67"/>
      <c r="AA93" s="67"/>
      <c r="AB93" s="67"/>
      <c r="AC93" s="67"/>
      <c r="AD93" s="67"/>
      <c r="AE93" s="67"/>
    </row>
    <row r="94" spans="1:31" ht="18.75">
      <c r="A94" s="128" t="s">
        <v>382</v>
      </c>
      <c r="B94" s="104" t="s">
        <v>383</v>
      </c>
      <c r="C94" s="129" t="s">
        <v>384</v>
      </c>
      <c r="D94" s="130" t="s">
        <v>20</v>
      </c>
      <c r="E94" s="136">
        <f>'MEMÓRIA QUANTITATIVOS LOT 01'!E93</f>
        <v>4</v>
      </c>
      <c r="F94" s="55" t="e">
        <f t="shared" si="56"/>
        <v>#REF!</v>
      </c>
      <c r="G94" s="55" t="e">
        <f t="shared" si="57"/>
        <v>#REF!</v>
      </c>
      <c r="H94" s="55" t="e">
        <f t="shared" si="58"/>
        <v>#REF!</v>
      </c>
      <c r="I94" s="55" t="e">
        <f t="shared" si="59"/>
        <v>#REF!</v>
      </c>
      <c r="J94" s="55" t="e">
        <f t="shared" si="60"/>
        <v>#REF!</v>
      </c>
      <c r="K94" s="56" t="e">
        <f t="shared" si="61"/>
        <v>#REF!</v>
      </c>
      <c r="L94" s="53" t="e">
        <f t="shared" si="62"/>
        <v>#REF!</v>
      </c>
      <c r="M94" s="53" t="e">
        <f t="shared" si="63"/>
        <v>#REF!</v>
      </c>
      <c r="N94" s="147" t="e">
        <f>#REF!</f>
        <v>#REF!</v>
      </c>
      <c r="O94" s="58" t="e">
        <f t="shared" si="64"/>
        <v>#REF!</v>
      </c>
      <c r="P94" s="137" t="s">
        <v>272</v>
      </c>
    </row>
    <row r="95" spans="1:31" ht="18.75">
      <c r="A95" s="148"/>
      <c r="B95" s="22"/>
      <c r="C95" s="149"/>
      <c r="D95" s="150"/>
      <c r="E95" s="136"/>
      <c r="F95" s="55"/>
      <c r="G95" s="55"/>
      <c r="H95" s="55"/>
      <c r="I95" s="55"/>
      <c r="J95" s="55"/>
      <c r="L95" s="53"/>
      <c r="M95" s="53"/>
    </row>
    <row r="96" spans="1:31" ht="18.75">
      <c r="A96" s="151"/>
      <c r="B96" s="152"/>
      <c r="C96" s="22"/>
      <c r="D96" s="22"/>
      <c r="E96" s="153"/>
      <c r="F96" s="151"/>
      <c r="G96" s="77" t="s">
        <v>102</v>
      </c>
      <c r="H96" s="73" t="e">
        <f>ROUND(SUM(H11:H94),2)</f>
        <v>#REF!</v>
      </c>
      <c r="I96" s="73" t="e">
        <f>ROUND(SUM(I11:I94),2)</f>
        <v>#REF!</v>
      </c>
      <c r="J96" s="73" t="e">
        <f>ROUND(SUM(J11:J94),2)</f>
        <v>#REF!</v>
      </c>
    </row>
    <row r="97" spans="1:31" ht="18.75">
      <c r="A97" s="69"/>
      <c r="B97" s="75"/>
      <c r="C97" s="154" t="s">
        <v>101</v>
      </c>
      <c r="D97" s="69"/>
      <c r="E97" s="72"/>
      <c r="F97" s="69"/>
      <c r="G97" s="76"/>
      <c r="H97" s="155"/>
      <c r="I97" s="155"/>
      <c r="J97" s="155"/>
    </row>
    <row r="98" spans="1:31" ht="18.75">
      <c r="A98" s="79"/>
      <c r="B98" s="80"/>
      <c r="C98" s="77" t="s">
        <v>453</v>
      </c>
      <c r="D98" s="81"/>
      <c r="E98" s="82"/>
      <c r="F98" s="81"/>
      <c r="G98" s="76"/>
      <c r="H98" s="83"/>
      <c r="I98" s="83"/>
      <c r="J98" s="83"/>
    </row>
    <row r="99" spans="1:31" ht="25.5" customHeight="1">
      <c r="A99" s="70"/>
      <c r="B99" s="84"/>
      <c r="C99" s="77" t="s">
        <v>454</v>
      </c>
      <c r="D99" s="85"/>
      <c r="E99" s="86"/>
      <c r="F99" s="70"/>
      <c r="G99" s="76"/>
      <c r="H99" s="83"/>
      <c r="I99" s="70"/>
      <c r="J99" s="70"/>
    </row>
    <row r="100" spans="1:31" ht="25.5" customHeight="1">
      <c r="A100" s="70"/>
      <c r="B100" s="84"/>
      <c r="C100" s="77" t="s">
        <v>455</v>
      </c>
      <c r="D100" s="85"/>
      <c r="E100" s="86"/>
      <c r="F100" s="70"/>
      <c r="G100" s="76"/>
      <c r="H100" s="83"/>
      <c r="I100" s="70"/>
      <c r="J100" s="70"/>
    </row>
    <row r="101" spans="1:31" ht="18.75">
      <c r="A101" s="70"/>
      <c r="B101" s="84"/>
      <c r="C101" s="77" t="s">
        <v>456</v>
      </c>
      <c r="D101" s="85"/>
      <c r="E101" s="86"/>
      <c r="F101" s="70"/>
      <c r="G101" s="70"/>
      <c r="H101" s="70"/>
      <c r="I101" s="70"/>
      <c r="J101" s="70"/>
      <c r="P101" s="65"/>
    </row>
    <row r="102" spans="1:31" ht="18.75">
      <c r="A102" s="87"/>
      <c r="B102" s="87"/>
      <c r="C102" s="77" t="s">
        <v>105</v>
      </c>
      <c r="D102" s="88"/>
      <c r="E102" s="89"/>
      <c r="F102" s="87"/>
      <c r="G102" s="87"/>
      <c r="H102" s="90"/>
      <c r="I102" s="90"/>
      <c r="J102" s="90"/>
      <c r="L102"/>
      <c r="M102"/>
      <c r="N102"/>
      <c r="O102"/>
      <c r="P102"/>
      <c r="Q102"/>
      <c r="R102"/>
      <c r="S102"/>
      <c r="T102"/>
      <c r="U102"/>
      <c r="V102"/>
      <c r="W102"/>
      <c r="X102"/>
      <c r="Y102"/>
      <c r="Z102"/>
      <c r="AA102"/>
      <c r="AB102"/>
      <c r="AC102"/>
      <c r="AD102"/>
      <c r="AE102"/>
    </row>
    <row r="103" spans="1:31">
      <c r="C103" s="156" t="s">
        <v>457</v>
      </c>
      <c r="H103" s="97"/>
      <c r="I103" s="98"/>
      <c r="J103" s="98"/>
      <c r="L103"/>
      <c r="M103"/>
      <c r="N103"/>
      <c r="O103"/>
      <c r="P103"/>
      <c r="Q103"/>
      <c r="R103"/>
      <c r="S103"/>
      <c r="T103"/>
      <c r="U103"/>
      <c r="V103"/>
      <c r="W103"/>
      <c r="X103"/>
      <c r="Y103"/>
      <c r="Z103"/>
      <c r="AA103"/>
      <c r="AB103"/>
      <c r="AC103"/>
      <c r="AD103"/>
      <c r="AE103"/>
    </row>
    <row r="104" spans="1:31" hidden="1">
      <c r="H104" s="97"/>
      <c r="I104" s="98"/>
      <c r="J104" s="98"/>
      <c r="L104"/>
      <c r="M104"/>
      <c r="N104"/>
      <c r="O104"/>
      <c r="P104"/>
      <c r="Q104"/>
      <c r="R104"/>
      <c r="S104"/>
      <c r="T104"/>
      <c r="U104"/>
      <c r="V104"/>
      <c r="W104"/>
      <c r="X104"/>
      <c r="Y104"/>
      <c r="Z104"/>
      <c r="AA104"/>
      <c r="AB104"/>
      <c r="AC104"/>
      <c r="AD104"/>
      <c r="AE104"/>
    </row>
    <row r="105" spans="1:31" hidden="1">
      <c r="L105"/>
      <c r="M105"/>
      <c r="N105"/>
      <c r="O105"/>
      <c r="P105"/>
      <c r="Q105"/>
      <c r="R105"/>
      <c r="S105"/>
      <c r="T105"/>
      <c r="U105"/>
      <c r="V105"/>
      <c r="W105"/>
      <c r="X105"/>
      <c r="Y105"/>
      <c r="Z105"/>
      <c r="AA105"/>
      <c r="AB105"/>
      <c r="AC105"/>
      <c r="AD105"/>
      <c r="AE105"/>
    </row>
    <row r="106" spans="1:31" hidden="1">
      <c r="A106" t="s">
        <v>106</v>
      </c>
      <c r="I106" t="e">
        <f>I98/J98</f>
        <v>#DIV/0!</v>
      </c>
      <c r="L106"/>
      <c r="M106"/>
      <c r="N106"/>
      <c r="O106"/>
      <c r="P106"/>
      <c r="Q106"/>
      <c r="R106"/>
      <c r="S106"/>
      <c r="T106"/>
      <c r="U106"/>
      <c r="V106"/>
      <c r="W106"/>
      <c r="X106"/>
      <c r="Y106"/>
      <c r="Z106"/>
      <c r="AA106"/>
      <c r="AB106"/>
      <c r="AC106"/>
      <c r="AD106"/>
      <c r="AE106"/>
    </row>
    <row r="107" spans="1:31" hidden="1">
      <c r="A107" t="s">
        <v>107</v>
      </c>
      <c r="L107"/>
      <c r="M107"/>
      <c r="N107"/>
      <c r="O107"/>
      <c r="P107"/>
      <c r="Q107"/>
      <c r="R107"/>
      <c r="S107"/>
      <c r="T107"/>
      <c r="U107"/>
      <c r="V107"/>
      <c r="W107"/>
      <c r="X107"/>
      <c r="Y107"/>
      <c r="Z107"/>
      <c r="AA107"/>
      <c r="AB107"/>
      <c r="AC107"/>
      <c r="AD107"/>
      <c r="AE107"/>
    </row>
    <row r="108" spans="1:31" hidden="1">
      <c r="A108" s="4" t="s">
        <v>108</v>
      </c>
      <c r="L108"/>
      <c r="M108"/>
      <c r="N108"/>
      <c r="O108"/>
      <c r="P108"/>
      <c r="Q108"/>
      <c r="R108"/>
      <c r="S108"/>
      <c r="T108"/>
      <c r="U108"/>
      <c r="V108"/>
      <c r="W108"/>
      <c r="X108"/>
      <c r="Y108"/>
      <c r="Z108"/>
      <c r="AA108"/>
      <c r="AB108"/>
      <c r="AC108"/>
      <c r="AD108"/>
      <c r="AE108"/>
    </row>
    <row r="109" spans="1:31" hidden="1">
      <c r="A109" s="4" t="s">
        <v>109</v>
      </c>
      <c r="L109"/>
      <c r="M109"/>
      <c r="N109"/>
      <c r="O109"/>
      <c r="P109"/>
      <c r="Q109"/>
      <c r="R109"/>
      <c r="S109"/>
      <c r="T109"/>
      <c r="U109"/>
      <c r="V109"/>
      <c r="W109"/>
      <c r="X109"/>
      <c r="Y109"/>
      <c r="Z109"/>
      <c r="AA109"/>
      <c r="AB109"/>
      <c r="AC109"/>
      <c r="AD109"/>
      <c r="AE109"/>
    </row>
    <row r="110" spans="1:31" hidden="1">
      <c r="L110"/>
      <c r="M110"/>
      <c r="N110"/>
      <c r="O110"/>
      <c r="P110"/>
      <c r="Q110"/>
      <c r="R110"/>
      <c r="S110"/>
      <c r="T110"/>
      <c r="U110"/>
      <c r="V110"/>
      <c r="W110"/>
      <c r="X110"/>
      <c r="Y110"/>
      <c r="Z110"/>
      <c r="AA110"/>
      <c r="AB110"/>
      <c r="AC110"/>
      <c r="AD110"/>
      <c r="AE110"/>
    </row>
    <row r="111" spans="1:31" hidden="1">
      <c r="A111" s="4" t="s">
        <v>110</v>
      </c>
      <c r="L111"/>
      <c r="M111"/>
      <c r="N111"/>
      <c r="O111"/>
      <c r="P111"/>
      <c r="Q111"/>
      <c r="R111"/>
      <c r="S111"/>
      <c r="T111"/>
      <c r="U111"/>
      <c r="V111"/>
      <c r="W111"/>
      <c r="X111"/>
      <c r="Y111"/>
      <c r="Z111"/>
      <c r="AA111"/>
      <c r="AB111"/>
      <c r="AC111"/>
      <c r="AD111"/>
      <c r="AE111"/>
    </row>
    <row r="112" spans="1:31" hidden="1">
      <c r="A112" t="s">
        <v>111</v>
      </c>
      <c r="L112"/>
      <c r="M112"/>
      <c r="N112"/>
      <c r="O112"/>
      <c r="P112"/>
      <c r="Q112"/>
      <c r="R112"/>
      <c r="S112"/>
      <c r="T112"/>
      <c r="U112"/>
      <c r="V112"/>
      <c r="W112"/>
      <c r="X112"/>
      <c r="Y112"/>
      <c r="Z112"/>
      <c r="AA112"/>
      <c r="AB112"/>
      <c r="AC112"/>
      <c r="AD112"/>
      <c r="AE112"/>
    </row>
    <row r="113" spans="1:31" hidden="1">
      <c r="A113" t="s">
        <v>112</v>
      </c>
      <c r="L113"/>
      <c r="M113"/>
      <c r="N113"/>
      <c r="O113"/>
      <c r="P113"/>
      <c r="Q113"/>
      <c r="R113"/>
      <c r="S113"/>
      <c r="T113"/>
      <c r="U113"/>
      <c r="V113"/>
      <c r="W113"/>
      <c r="X113"/>
      <c r="Y113"/>
      <c r="Z113"/>
      <c r="AA113"/>
      <c r="AB113"/>
      <c r="AC113"/>
      <c r="AD113"/>
      <c r="AE113"/>
    </row>
    <row r="114" spans="1:31" hidden="1">
      <c r="A114" t="s">
        <v>113</v>
      </c>
      <c r="L114"/>
      <c r="M114"/>
      <c r="N114"/>
      <c r="O114"/>
      <c r="P114"/>
      <c r="Q114"/>
      <c r="R114"/>
      <c r="S114"/>
      <c r="T114"/>
      <c r="U114"/>
      <c r="V114"/>
      <c r="W114"/>
      <c r="X114"/>
      <c r="Y114"/>
      <c r="Z114"/>
      <c r="AA114"/>
      <c r="AB114"/>
      <c r="AC114"/>
      <c r="AD114"/>
      <c r="AE114"/>
    </row>
    <row r="115" spans="1:31" hidden="1">
      <c r="L115"/>
      <c r="M115"/>
      <c r="N115"/>
      <c r="O115"/>
      <c r="P115"/>
      <c r="Q115"/>
      <c r="R115"/>
      <c r="S115"/>
      <c r="T115"/>
      <c r="U115"/>
      <c r="V115"/>
      <c r="W115"/>
      <c r="X115"/>
      <c r="Y115"/>
      <c r="Z115"/>
      <c r="AA115"/>
      <c r="AB115"/>
      <c r="AC115"/>
      <c r="AD115"/>
      <c r="AE115"/>
    </row>
    <row r="116" spans="1:31" hidden="1">
      <c r="A116" t="s">
        <v>114</v>
      </c>
      <c r="L116"/>
      <c r="M116"/>
      <c r="N116"/>
      <c r="O116"/>
      <c r="P116"/>
      <c r="Q116"/>
      <c r="R116"/>
      <c r="S116"/>
      <c r="T116"/>
      <c r="U116"/>
      <c r="V116"/>
      <c r="W116"/>
      <c r="X116"/>
      <c r="Y116"/>
      <c r="Z116"/>
      <c r="AA116"/>
      <c r="AB116"/>
      <c r="AC116"/>
      <c r="AD116"/>
      <c r="AE116"/>
    </row>
    <row r="117" spans="1:31" hidden="1">
      <c r="A117" t="s">
        <v>115</v>
      </c>
      <c r="L117"/>
      <c r="M117"/>
      <c r="N117"/>
      <c r="O117"/>
      <c r="P117"/>
      <c r="Q117"/>
      <c r="R117"/>
      <c r="S117"/>
      <c r="T117"/>
      <c r="U117"/>
      <c r="V117"/>
      <c r="W117"/>
      <c r="X117"/>
      <c r="Y117"/>
      <c r="Z117"/>
      <c r="AA117"/>
      <c r="AB117"/>
      <c r="AC117"/>
      <c r="AD117"/>
      <c r="AE117"/>
    </row>
    <row r="118" spans="1:31" ht="12.75" hidden="1">
      <c r="A118" t="s">
        <v>116</v>
      </c>
      <c r="B118"/>
      <c r="C118"/>
      <c r="D118"/>
      <c r="L118"/>
      <c r="M118"/>
      <c r="N118"/>
      <c r="O118"/>
      <c r="P118"/>
      <c r="Q118"/>
      <c r="R118"/>
      <c r="S118"/>
      <c r="T118"/>
      <c r="U118"/>
      <c r="V118"/>
      <c r="W118"/>
      <c r="X118"/>
      <c r="Y118"/>
      <c r="Z118"/>
      <c r="AA118"/>
      <c r="AB118"/>
      <c r="AC118"/>
      <c r="AD118"/>
      <c r="AE118"/>
    </row>
    <row r="119" spans="1:31" ht="12.75" hidden="1">
      <c r="B119"/>
      <c r="C119"/>
      <c r="D119"/>
      <c r="L119"/>
      <c r="M119"/>
      <c r="N119"/>
      <c r="O119"/>
      <c r="P119"/>
      <c r="Q119"/>
      <c r="R119"/>
      <c r="S119"/>
      <c r="T119"/>
      <c r="U119"/>
      <c r="V119"/>
      <c r="W119"/>
      <c r="X119"/>
      <c r="Y119"/>
      <c r="Z119"/>
      <c r="AA119"/>
      <c r="AB119"/>
      <c r="AC119"/>
      <c r="AD119"/>
      <c r="AE119"/>
    </row>
    <row r="120" spans="1:31" ht="12.75" hidden="1">
      <c r="A120" t="s">
        <v>117</v>
      </c>
      <c r="B120"/>
      <c r="C120"/>
      <c r="D120"/>
      <c r="L120"/>
      <c r="M120"/>
      <c r="N120"/>
      <c r="O120"/>
      <c r="P120"/>
      <c r="Q120"/>
      <c r="R120"/>
      <c r="S120"/>
      <c r="T120"/>
      <c r="U120"/>
      <c r="V120"/>
      <c r="W120"/>
      <c r="X120"/>
      <c r="Y120"/>
      <c r="Z120"/>
      <c r="AA120"/>
      <c r="AB120"/>
      <c r="AC120"/>
      <c r="AD120"/>
      <c r="AE120"/>
    </row>
    <row r="121" spans="1:31" ht="12.75" hidden="1">
      <c r="A121" t="s">
        <v>118</v>
      </c>
      <c r="B121"/>
      <c r="C121"/>
      <c r="D121"/>
      <c r="L121"/>
      <c r="M121"/>
      <c r="N121"/>
      <c r="O121"/>
      <c r="P121"/>
      <c r="Q121"/>
      <c r="R121"/>
      <c r="S121"/>
      <c r="T121"/>
      <c r="U121"/>
      <c r="V121"/>
      <c r="W121"/>
      <c r="X121"/>
      <c r="Y121"/>
      <c r="Z121"/>
      <c r="AA121"/>
      <c r="AB121"/>
      <c r="AC121"/>
      <c r="AD121"/>
      <c r="AE121"/>
    </row>
    <row r="122" spans="1:31" ht="12.75" hidden="1">
      <c r="A122" t="s">
        <v>119</v>
      </c>
      <c r="B122"/>
      <c r="C122"/>
      <c r="D122"/>
      <c r="L122"/>
      <c r="M122"/>
      <c r="N122"/>
      <c r="O122"/>
      <c r="P122"/>
      <c r="Q122"/>
      <c r="R122"/>
      <c r="S122"/>
      <c r="T122"/>
      <c r="U122"/>
      <c r="V122"/>
      <c r="W122"/>
      <c r="X122"/>
      <c r="Y122"/>
      <c r="Z122"/>
      <c r="AA122"/>
      <c r="AB122"/>
      <c r="AC122"/>
      <c r="AD122"/>
      <c r="AE122"/>
    </row>
    <row r="123" spans="1:31" ht="12.75" hidden="1">
      <c r="A123" t="s">
        <v>120</v>
      </c>
      <c r="B123"/>
      <c r="C123"/>
      <c r="D123"/>
      <c r="L123"/>
      <c r="M123"/>
      <c r="N123"/>
      <c r="O123"/>
      <c r="P123"/>
      <c r="Q123"/>
      <c r="R123"/>
      <c r="S123"/>
      <c r="T123"/>
      <c r="U123"/>
      <c r="V123"/>
      <c r="W123"/>
      <c r="X123"/>
      <c r="Y123"/>
      <c r="Z123"/>
      <c r="AA123"/>
      <c r="AB123"/>
      <c r="AC123"/>
      <c r="AD123"/>
      <c r="AE123"/>
    </row>
    <row r="124" spans="1:31" ht="12.75" hidden="1">
      <c r="A124" t="s">
        <v>121</v>
      </c>
      <c r="B124"/>
      <c r="C124"/>
      <c r="D124"/>
      <c r="L124"/>
      <c r="M124"/>
      <c r="N124"/>
      <c r="O124"/>
      <c r="P124"/>
      <c r="Q124"/>
      <c r="R124"/>
      <c r="S124"/>
      <c r="T124"/>
      <c r="U124"/>
      <c r="V124"/>
      <c r="W124"/>
      <c r="X124"/>
      <c r="Y124"/>
      <c r="Z124"/>
      <c r="AA124"/>
      <c r="AB124"/>
      <c r="AC124"/>
      <c r="AD124"/>
      <c r="AE124"/>
    </row>
    <row r="125" spans="1:31" ht="12.75" hidden="1">
      <c r="B125"/>
      <c r="C125"/>
      <c r="D125"/>
      <c r="L125"/>
      <c r="M125"/>
      <c r="N125"/>
      <c r="O125"/>
      <c r="P125"/>
      <c r="Q125"/>
      <c r="R125"/>
      <c r="S125"/>
      <c r="T125"/>
      <c r="U125"/>
      <c r="V125"/>
      <c r="W125"/>
      <c r="X125"/>
      <c r="Y125"/>
      <c r="Z125"/>
      <c r="AA125"/>
      <c r="AB125"/>
      <c r="AC125"/>
      <c r="AD125"/>
      <c r="AE125"/>
    </row>
    <row r="126" spans="1:31" ht="12.75" hidden="1">
      <c r="A126" t="s">
        <v>122</v>
      </c>
      <c r="B126"/>
      <c r="C126"/>
      <c r="D126"/>
      <c r="L126"/>
      <c r="M126"/>
      <c r="N126"/>
      <c r="O126"/>
      <c r="P126"/>
      <c r="Q126"/>
      <c r="R126"/>
      <c r="S126"/>
      <c r="T126"/>
      <c r="U126"/>
      <c r="V126"/>
      <c r="W126"/>
      <c r="X126"/>
      <c r="Y126"/>
      <c r="Z126"/>
      <c r="AA126"/>
      <c r="AB126"/>
      <c r="AC126"/>
      <c r="AD126"/>
      <c r="AE126"/>
    </row>
    <row r="127" spans="1:31" ht="12.75" hidden="1">
      <c r="A127" t="s">
        <v>123</v>
      </c>
      <c r="B127"/>
      <c r="C127"/>
      <c r="D127"/>
      <c r="L127"/>
      <c r="M127"/>
      <c r="N127"/>
      <c r="O127"/>
      <c r="P127"/>
      <c r="Q127"/>
      <c r="R127"/>
      <c r="S127"/>
      <c r="T127"/>
      <c r="U127"/>
      <c r="V127"/>
      <c r="W127"/>
      <c r="X127"/>
      <c r="Y127"/>
      <c r="Z127"/>
      <c r="AA127"/>
      <c r="AB127"/>
      <c r="AC127"/>
      <c r="AD127"/>
      <c r="AE127"/>
    </row>
    <row r="128" spans="1:31" ht="12.75" hidden="1">
      <c r="B128"/>
      <c r="C128"/>
      <c r="D128"/>
      <c r="L128"/>
      <c r="M128"/>
      <c r="N128"/>
      <c r="O128"/>
      <c r="P128"/>
      <c r="Q128"/>
      <c r="R128"/>
      <c r="S128"/>
      <c r="T128"/>
      <c r="U128"/>
      <c r="V128"/>
      <c r="W128"/>
      <c r="X128"/>
      <c r="Y128"/>
      <c r="Z128"/>
      <c r="AA128"/>
      <c r="AB128"/>
      <c r="AC128"/>
      <c r="AD128"/>
      <c r="AE128"/>
    </row>
    <row r="129" spans="1:31" ht="12.75" hidden="1">
      <c r="A129" t="s">
        <v>124</v>
      </c>
      <c r="B129"/>
      <c r="C129"/>
      <c r="D129"/>
      <c r="L129"/>
      <c r="M129"/>
      <c r="N129"/>
      <c r="O129"/>
      <c r="P129"/>
      <c r="Q129"/>
      <c r="R129"/>
      <c r="S129"/>
      <c r="T129"/>
      <c r="U129"/>
      <c r="V129"/>
      <c r="W129"/>
      <c r="X129"/>
      <c r="Y129"/>
      <c r="Z129"/>
      <c r="AA129"/>
      <c r="AB129"/>
      <c r="AC129"/>
      <c r="AD129"/>
      <c r="AE129"/>
    </row>
    <row r="130" spans="1:31" ht="12.75" hidden="1">
      <c r="A130" t="s">
        <v>125</v>
      </c>
      <c r="B130"/>
      <c r="C130"/>
      <c r="D130"/>
      <c r="L130"/>
      <c r="M130"/>
      <c r="N130"/>
      <c r="O130"/>
      <c r="P130"/>
      <c r="Q130"/>
      <c r="R130"/>
      <c r="S130"/>
      <c r="T130"/>
      <c r="U130"/>
      <c r="V130"/>
      <c r="W130"/>
      <c r="X130"/>
      <c r="Y130"/>
      <c r="Z130"/>
      <c r="AA130"/>
      <c r="AB130"/>
      <c r="AC130"/>
      <c r="AD130"/>
      <c r="AE130"/>
    </row>
    <row r="131" spans="1:31" ht="12.75" hidden="1">
      <c r="A131" t="s">
        <v>126</v>
      </c>
      <c r="B131"/>
      <c r="C131"/>
      <c r="D131"/>
      <c r="L131"/>
      <c r="M131"/>
      <c r="N131"/>
      <c r="O131"/>
      <c r="P131"/>
      <c r="Q131"/>
      <c r="R131"/>
      <c r="S131"/>
      <c r="T131"/>
      <c r="U131"/>
      <c r="V131"/>
      <c r="W131"/>
      <c r="X131"/>
      <c r="Y131"/>
      <c r="Z131"/>
      <c r="AA131"/>
      <c r="AB131"/>
      <c r="AC131"/>
      <c r="AD131"/>
      <c r="AE131"/>
    </row>
    <row r="132" spans="1:31" ht="12.75" hidden="1">
      <c r="B132"/>
      <c r="C132"/>
      <c r="D132"/>
      <c r="L132"/>
      <c r="M132"/>
      <c r="N132"/>
      <c r="O132"/>
      <c r="P132"/>
      <c r="Q132"/>
      <c r="R132"/>
      <c r="S132"/>
      <c r="T132"/>
      <c r="U132"/>
      <c r="V132"/>
      <c r="W132"/>
      <c r="X132"/>
      <c r="Y132"/>
      <c r="Z132"/>
      <c r="AA132"/>
      <c r="AB132"/>
      <c r="AC132"/>
      <c r="AD132"/>
      <c r="AE132"/>
    </row>
    <row r="133" spans="1:31" ht="12.75" hidden="1">
      <c r="A133" t="s">
        <v>127</v>
      </c>
      <c r="B133"/>
      <c r="C133"/>
      <c r="D133"/>
      <c r="L133"/>
      <c r="M133"/>
      <c r="N133"/>
      <c r="O133"/>
      <c r="P133"/>
      <c r="Q133"/>
      <c r="R133"/>
      <c r="S133"/>
      <c r="T133"/>
      <c r="U133"/>
      <c r="V133"/>
      <c r="W133"/>
      <c r="X133"/>
      <c r="Y133"/>
      <c r="Z133"/>
      <c r="AA133"/>
      <c r="AB133"/>
      <c r="AC133"/>
      <c r="AD133"/>
      <c r="AE133"/>
    </row>
    <row r="134" spans="1:31" ht="12.75" hidden="1">
      <c r="B134"/>
      <c r="C134"/>
      <c r="D134"/>
      <c r="L134"/>
      <c r="M134"/>
      <c r="N134"/>
      <c r="O134"/>
      <c r="P134"/>
      <c r="Q134"/>
      <c r="R134"/>
      <c r="S134"/>
      <c r="T134"/>
      <c r="U134"/>
      <c r="V134"/>
      <c r="W134"/>
      <c r="X134"/>
      <c r="Y134"/>
      <c r="Z134"/>
      <c r="AA134"/>
      <c r="AB134"/>
      <c r="AC134"/>
      <c r="AD134"/>
      <c r="AE134"/>
    </row>
    <row r="135" spans="1:31" ht="12.75" hidden="1">
      <c r="A135" t="s">
        <v>128</v>
      </c>
      <c r="B135"/>
      <c r="C135"/>
      <c r="D135"/>
      <c r="L135"/>
      <c r="M135"/>
      <c r="N135"/>
      <c r="O135"/>
      <c r="P135"/>
      <c r="Q135"/>
      <c r="R135"/>
      <c r="S135"/>
      <c r="T135"/>
      <c r="U135"/>
      <c r="V135"/>
      <c r="W135"/>
      <c r="X135"/>
      <c r="Y135"/>
      <c r="Z135"/>
      <c r="AA135"/>
      <c r="AB135"/>
      <c r="AC135"/>
      <c r="AD135"/>
      <c r="AE135"/>
    </row>
    <row r="136" spans="1:31" ht="12.75" hidden="1">
      <c r="B136"/>
      <c r="C136"/>
      <c r="D136"/>
      <c r="L136"/>
      <c r="M136"/>
      <c r="N136"/>
      <c r="O136"/>
      <c r="P136"/>
      <c r="Q136"/>
      <c r="R136"/>
      <c r="S136"/>
      <c r="T136"/>
      <c r="U136"/>
      <c r="V136"/>
      <c r="W136"/>
      <c r="X136"/>
      <c r="Y136"/>
      <c r="Z136"/>
      <c r="AA136"/>
      <c r="AB136"/>
      <c r="AC136"/>
      <c r="AD136"/>
      <c r="AE136"/>
    </row>
    <row r="137" spans="1:31" ht="12.75" hidden="1">
      <c r="A137" t="s">
        <v>129</v>
      </c>
      <c r="B137"/>
      <c r="C137"/>
      <c r="D137"/>
      <c r="L137"/>
      <c r="M137"/>
      <c r="N137"/>
      <c r="O137"/>
      <c r="P137"/>
      <c r="Q137"/>
      <c r="R137"/>
      <c r="S137"/>
      <c r="T137"/>
      <c r="U137"/>
      <c r="V137"/>
      <c r="W137"/>
      <c r="X137"/>
      <c r="Y137"/>
      <c r="Z137"/>
      <c r="AA137"/>
      <c r="AB137"/>
      <c r="AC137"/>
      <c r="AD137"/>
      <c r="AE137"/>
    </row>
    <row r="138" spans="1:31" ht="12.75" hidden="1">
      <c r="B138"/>
      <c r="C138"/>
      <c r="D138"/>
      <c r="L138"/>
      <c r="M138"/>
      <c r="N138"/>
      <c r="O138"/>
      <c r="P138"/>
      <c r="Q138"/>
      <c r="R138"/>
      <c r="S138"/>
      <c r="T138"/>
      <c r="U138"/>
      <c r="V138"/>
      <c r="W138"/>
      <c r="X138"/>
      <c r="Y138"/>
      <c r="Z138"/>
      <c r="AA138"/>
      <c r="AB138"/>
      <c r="AC138"/>
      <c r="AD138"/>
      <c r="AE138"/>
    </row>
    <row r="139" spans="1:31" ht="12.75" hidden="1">
      <c r="A139" t="s">
        <v>130</v>
      </c>
      <c r="B139"/>
      <c r="C139"/>
      <c r="D139"/>
      <c r="L139"/>
      <c r="M139"/>
      <c r="N139"/>
      <c r="O139"/>
      <c r="P139"/>
      <c r="Q139"/>
      <c r="R139"/>
      <c r="S139"/>
      <c r="T139"/>
      <c r="U139"/>
      <c r="V139"/>
      <c r="W139"/>
      <c r="X139"/>
      <c r="Y139"/>
      <c r="Z139"/>
      <c r="AA139"/>
      <c r="AB139"/>
      <c r="AC139"/>
      <c r="AD139"/>
      <c r="AE139"/>
    </row>
    <row r="140" spans="1:31" ht="12.75" hidden="1">
      <c r="B140"/>
      <c r="C140"/>
      <c r="D140"/>
      <c r="L140"/>
      <c r="M140"/>
      <c r="N140"/>
      <c r="O140"/>
      <c r="P140"/>
      <c r="Q140"/>
      <c r="R140"/>
      <c r="S140"/>
      <c r="T140"/>
      <c r="U140"/>
      <c r="V140"/>
      <c r="W140"/>
      <c r="X140"/>
      <c r="Y140"/>
      <c r="Z140"/>
      <c r="AA140"/>
      <c r="AB140"/>
      <c r="AC140"/>
      <c r="AD140"/>
      <c r="AE140"/>
    </row>
    <row r="141" spans="1:31" ht="12.75" hidden="1">
      <c r="A141" t="s">
        <v>131</v>
      </c>
      <c r="B141"/>
      <c r="C141"/>
      <c r="D141"/>
      <c r="L141"/>
      <c r="M141"/>
      <c r="N141"/>
      <c r="O141"/>
      <c r="P141"/>
      <c r="Q141"/>
      <c r="R141"/>
      <c r="S141"/>
      <c r="T141"/>
      <c r="U141"/>
      <c r="V141"/>
      <c r="W141"/>
      <c r="X141"/>
      <c r="Y141"/>
      <c r="Z141"/>
      <c r="AA141"/>
      <c r="AB141"/>
      <c r="AC141"/>
      <c r="AD141"/>
      <c r="AE141"/>
    </row>
    <row r="142" spans="1:31" ht="12.75" hidden="1">
      <c r="B142"/>
      <c r="C142"/>
      <c r="D142"/>
      <c r="L142"/>
      <c r="M142"/>
      <c r="N142"/>
      <c r="O142"/>
      <c r="P142"/>
      <c r="Q142"/>
      <c r="R142"/>
      <c r="S142"/>
      <c r="T142"/>
      <c r="U142"/>
      <c r="V142"/>
      <c r="W142"/>
      <c r="X142"/>
      <c r="Y142"/>
      <c r="Z142"/>
      <c r="AA142"/>
      <c r="AB142"/>
      <c r="AC142"/>
      <c r="AD142"/>
      <c r="AE142"/>
    </row>
    <row r="143" spans="1:31" ht="12.75" hidden="1">
      <c r="A143" t="s">
        <v>132</v>
      </c>
      <c r="B143"/>
      <c r="C143"/>
      <c r="D143"/>
      <c r="L143"/>
      <c r="M143"/>
      <c r="N143"/>
      <c r="O143"/>
      <c r="P143"/>
      <c r="Q143"/>
      <c r="R143"/>
      <c r="S143"/>
      <c r="T143"/>
      <c r="U143"/>
      <c r="V143"/>
      <c r="W143"/>
      <c r="X143"/>
      <c r="Y143"/>
      <c r="Z143"/>
      <c r="AA143"/>
      <c r="AB143"/>
      <c r="AC143"/>
      <c r="AD143"/>
      <c r="AE143"/>
    </row>
    <row r="144" spans="1:31" ht="12.75" hidden="1">
      <c r="A144" t="s">
        <v>133</v>
      </c>
      <c r="B144"/>
      <c r="C144"/>
      <c r="D144"/>
      <c r="L144"/>
      <c r="M144"/>
      <c r="N144"/>
      <c r="O144"/>
      <c r="P144"/>
      <c r="Q144"/>
      <c r="R144"/>
      <c r="S144"/>
      <c r="T144"/>
      <c r="U144"/>
      <c r="V144"/>
      <c r="W144"/>
      <c r="X144"/>
      <c r="Y144"/>
      <c r="Z144"/>
      <c r="AA144"/>
      <c r="AB144"/>
      <c r="AC144"/>
      <c r="AD144"/>
      <c r="AE144"/>
    </row>
    <row r="145" spans="1:31" ht="12.75" hidden="1">
      <c r="B145"/>
      <c r="C145"/>
      <c r="D145"/>
      <c r="L145"/>
      <c r="M145"/>
      <c r="N145"/>
      <c r="O145"/>
      <c r="P145"/>
      <c r="Q145"/>
      <c r="R145"/>
      <c r="S145"/>
      <c r="T145"/>
      <c r="U145"/>
      <c r="V145"/>
      <c r="W145"/>
      <c r="X145"/>
      <c r="Y145"/>
      <c r="Z145"/>
      <c r="AA145"/>
      <c r="AB145"/>
      <c r="AC145"/>
      <c r="AD145"/>
      <c r="AE145"/>
    </row>
    <row r="146" spans="1:31" ht="12.75" hidden="1">
      <c r="A146" s="4" t="s">
        <v>134</v>
      </c>
      <c r="B146"/>
      <c r="C146"/>
      <c r="D146"/>
      <c r="L146"/>
      <c r="M146"/>
      <c r="N146"/>
      <c r="O146"/>
      <c r="P146"/>
      <c r="Q146"/>
      <c r="R146"/>
      <c r="S146"/>
      <c r="T146"/>
      <c r="U146"/>
      <c r="V146"/>
      <c r="W146"/>
      <c r="X146"/>
      <c r="Y146"/>
      <c r="Z146"/>
      <c r="AA146"/>
      <c r="AB146"/>
      <c r="AC146"/>
      <c r="AD146"/>
      <c r="AE146"/>
    </row>
    <row r="147" spans="1:31" ht="12.75" hidden="1">
      <c r="A147" t="s">
        <v>135</v>
      </c>
      <c r="B147"/>
      <c r="C147"/>
      <c r="D147"/>
      <c r="L147"/>
      <c r="M147"/>
      <c r="N147"/>
      <c r="O147"/>
      <c r="P147"/>
      <c r="Q147"/>
      <c r="R147"/>
      <c r="S147"/>
      <c r="T147"/>
      <c r="U147"/>
      <c r="V147"/>
      <c r="W147"/>
      <c r="X147"/>
      <c r="Y147"/>
      <c r="Z147"/>
      <c r="AA147"/>
      <c r="AB147"/>
      <c r="AC147"/>
      <c r="AD147"/>
      <c r="AE147"/>
    </row>
    <row r="148" spans="1:31" ht="12.75" hidden="1">
      <c r="A148" t="s">
        <v>136</v>
      </c>
      <c r="B148"/>
      <c r="C148"/>
      <c r="D148"/>
      <c r="L148"/>
      <c r="M148"/>
      <c r="N148"/>
      <c r="O148"/>
      <c r="P148"/>
      <c r="Q148"/>
      <c r="R148"/>
      <c r="S148"/>
      <c r="T148"/>
      <c r="U148"/>
      <c r="V148"/>
      <c r="W148"/>
      <c r="X148"/>
      <c r="Y148"/>
      <c r="Z148"/>
      <c r="AA148"/>
      <c r="AB148"/>
      <c r="AC148"/>
      <c r="AD148"/>
      <c r="AE148"/>
    </row>
    <row r="149" spans="1:31" ht="12.75" hidden="1">
      <c r="B149"/>
      <c r="C149"/>
      <c r="D149"/>
      <c r="L149"/>
      <c r="M149"/>
      <c r="N149"/>
      <c r="O149"/>
      <c r="P149"/>
      <c r="Q149"/>
      <c r="R149"/>
      <c r="S149"/>
      <c r="T149"/>
      <c r="U149"/>
      <c r="V149"/>
      <c r="W149"/>
      <c r="X149"/>
      <c r="Y149"/>
      <c r="Z149"/>
      <c r="AA149"/>
      <c r="AB149"/>
      <c r="AC149"/>
      <c r="AD149"/>
      <c r="AE149"/>
    </row>
    <row r="150" spans="1:31" ht="12.75" hidden="1">
      <c r="A150" t="s">
        <v>137</v>
      </c>
      <c r="B150"/>
      <c r="C150"/>
      <c r="D150"/>
      <c r="L150"/>
      <c r="M150"/>
      <c r="N150"/>
      <c r="O150"/>
      <c r="P150"/>
      <c r="Q150"/>
      <c r="R150"/>
      <c r="S150"/>
      <c r="T150"/>
      <c r="U150"/>
      <c r="V150"/>
      <c r="W150"/>
      <c r="X150"/>
      <c r="Y150"/>
      <c r="Z150"/>
      <c r="AA150"/>
      <c r="AB150"/>
      <c r="AC150"/>
      <c r="AD150"/>
      <c r="AE150"/>
    </row>
    <row r="151" spans="1:31" ht="12.75" hidden="1">
      <c r="A151" t="s">
        <v>138</v>
      </c>
      <c r="B151"/>
      <c r="C151"/>
      <c r="D151"/>
      <c r="L151"/>
      <c r="M151"/>
      <c r="N151"/>
      <c r="O151"/>
      <c r="P151"/>
      <c r="Q151"/>
      <c r="R151"/>
      <c r="S151"/>
      <c r="T151"/>
      <c r="U151"/>
      <c r="V151"/>
      <c r="W151"/>
      <c r="X151"/>
      <c r="Y151"/>
      <c r="Z151"/>
      <c r="AA151"/>
      <c r="AB151"/>
      <c r="AC151"/>
      <c r="AD151"/>
      <c r="AE151"/>
    </row>
    <row r="152" spans="1:31" ht="12.75" hidden="1">
      <c r="B152"/>
      <c r="C152"/>
      <c r="D152"/>
      <c r="L152"/>
      <c r="M152"/>
      <c r="N152"/>
      <c r="O152"/>
      <c r="P152"/>
      <c r="Q152"/>
      <c r="R152"/>
      <c r="S152"/>
      <c r="T152"/>
      <c r="U152"/>
      <c r="V152"/>
      <c r="W152"/>
      <c r="X152"/>
      <c r="Y152"/>
      <c r="Z152"/>
      <c r="AA152"/>
      <c r="AB152"/>
      <c r="AC152"/>
      <c r="AD152"/>
      <c r="AE152"/>
    </row>
    <row r="153" spans="1:31" ht="12.75" hidden="1">
      <c r="A153" t="s">
        <v>139</v>
      </c>
      <c r="B153"/>
      <c r="C153"/>
      <c r="D153"/>
      <c r="L153"/>
      <c r="M153"/>
      <c r="N153"/>
      <c r="O153"/>
      <c r="P153"/>
      <c r="Q153"/>
      <c r="R153"/>
      <c r="S153"/>
      <c r="T153"/>
      <c r="U153"/>
      <c r="V153"/>
      <c r="W153"/>
      <c r="X153"/>
      <c r="Y153"/>
      <c r="Z153"/>
      <c r="AA153"/>
      <c r="AB153"/>
      <c r="AC153"/>
      <c r="AD153"/>
      <c r="AE153"/>
    </row>
    <row r="154" spans="1:31" ht="12.75" hidden="1">
      <c r="B154"/>
      <c r="C154"/>
      <c r="D154"/>
      <c r="L154"/>
      <c r="M154"/>
      <c r="N154"/>
      <c r="O154"/>
      <c r="P154"/>
      <c r="Q154"/>
      <c r="R154"/>
      <c r="S154"/>
      <c r="T154"/>
      <c r="U154"/>
      <c r="V154"/>
      <c r="W154"/>
      <c r="X154"/>
      <c r="Y154"/>
      <c r="Z154"/>
      <c r="AA154"/>
      <c r="AB154"/>
      <c r="AC154"/>
      <c r="AD154"/>
      <c r="AE154"/>
    </row>
    <row r="155" spans="1:31" ht="12.75" hidden="1">
      <c r="A155" s="4" t="s">
        <v>140</v>
      </c>
      <c r="B155"/>
      <c r="C155"/>
      <c r="D155"/>
      <c r="L155"/>
      <c r="M155"/>
      <c r="N155"/>
      <c r="O155"/>
      <c r="P155"/>
      <c r="Q155"/>
      <c r="R155"/>
      <c r="S155"/>
      <c r="T155"/>
      <c r="U155"/>
      <c r="V155"/>
      <c r="W155"/>
      <c r="X155"/>
      <c r="Y155"/>
      <c r="Z155"/>
      <c r="AA155"/>
      <c r="AB155"/>
      <c r="AC155"/>
      <c r="AD155"/>
      <c r="AE155"/>
    </row>
    <row r="156" spans="1:31" ht="12.75" hidden="1">
      <c r="A156" t="s">
        <v>141</v>
      </c>
      <c r="B156"/>
      <c r="C156"/>
      <c r="D156"/>
      <c r="L156"/>
      <c r="M156"/>
      <c r="N156"/>
      <c r="O156"/>
      <c r="P156"/>
      <c r="Q156"/>
      <c r="R156"/>
      <c r="S156"/>
      <c r="T156"/>
      <c r="U156"/>
      <c r="V156"/>
      <c r="W156"/>
      <c r="X156"/>
      <c r="Y156"/>
      <c r="Z156"/>
      <c r="AA156"/>
      <c r="AB156"/>
      <c r="AC156"/>
      <c r="AD156"/>
      <c r="AE156"/>
    </row>
    <row r="157" spans="1:31" ht="12.75" hidden="1">
      <c r="B157"/>
      <c r="C157"/>
      <c r="D157"/>
      <c r="L157"/>
      <c r="M157"/>
      <c r="N157"/>
      <c r="O157"/>
      <c r="P157"/>
      <c r="Q157"/>
      <c r="R157"/>
      <c r="S157"/>
      <c r="T157"/>
      <c r="U157"/>
      <c r="V157"/>
      <c r="W157"/>
      <c r="X157"/>
      <c r="Y157"/>
      <c r="Z157"/>
      <c r="AA157"/>
      <c r="AB157"/>
      <c r="AC157"/>
      <c r="AD157"/>
      <c r="AE157"/>
    </row>
    <row r="158" spans="1:31" ht="12.75" hidden="1">
      <c r="A158" t="s">
        <v>142</v>
      </c>
      <c r="B158"/>
      <c r="C158"/>
      <c r="D158"/>
      <c r="L158"/>
      <c r="M158"/>
      <c r="N158"/>
      <c r="O158"/>
      <c r="P158"/>
      <c r="Q158"/>
      <c r="R158"/>
      <c r="S158"/>
      <c r="T158"/>
      <c r="U158"/>
      <c r="V158"/>
      <c r="W158"/>
      <c r="X158"/>
      <c r="Y158"/>
      <c r="Z158"/>
      <c r="AA158"/>
      <c r="AB158"/>
      <c r="AC158"/>
      <c r="AD158"/>
      <c r="AE158"/>
    </row>
    <row r="159" spans="1:31" ht="12.75" hidden="1">
      <c r="B159"/>
      <c r="C159"/>
      <c r="D159"/>
      <c r="L159"/>
      <c r="M159"/>
      <c r="N159"/>
      <c r="O159"/>
      <c r="P159"/>
      <c r="Q159"/>
      <c r="R159"/>
      <c r="S159"/>
      <c r="T159"/>
      <c r="U159"/>
      <c r="V159"/>
      <c r="W159"/>
      <c r="X159"/>
      <c r="Y159"/>
      <c r="Z159"/>
      <c r="AA159"/>
      <c r="AB159"/>
      <c r="AC159"/>
      <c r="AD159"/>
      <c r="AE159"/>
    </row>
    <row r="160" spans="1:31" ht="12.75" hidden="1">
      <c r="B160"/>
      <c r="C160"/>
      <c r="D160"/>
      <c r="L160"/>
      <c r="M160"/>
      <c r="N160"/>
      <c r="O160"/>
      <c r="P160"/>
      <c r="Q160"/>
      <c r="R160"/>
      <c r="S160"/>
      <c r="T160"/>
      <c r="U160"/>
      <c r="V160"/>
      <c r="W160"/>
      <c r="X160"/>
      <c r="Y160"/>
      <c r="Z160"/>
      <c r="AA160"/>
      <c r="AB160"/>
      <c r="AC160"/>
      <c r="AD160"/>
      <c r="AE160"/>
    </row>
    <row r="161" spans="1:31" ht="12.75" hidden="1">
      <c r="A161" s="4" t="s">
        <v>143</v>
      </c>
      <c r="B161"/>
      <c r="C161"/>
      <c r="D161"/>
      <c r="L161"/>
      <c r="M161"/>
      <c r="N161"/>
      <c r="O161"/>
      <c r="P161"/>
      <c r="Q161"/>
      <c r="R161"/>
      <c r="S161"/>
      <c r="T161"/>
      <c r="U161"/>
      <c r="V161"/>
      <c r="W161"/>
      <c r="X161"/>
      <c r="Y161"/>
      <c r="Z161"/>
      <c r="AA161"/>
      <c r="AB161"/>
      <c r="AC161"/>
      <c r="AD161"/>
      <c r="AE161"/>
    </row>
    <row r="162" spans="1:31" ht="12.75" hidden="1">
      <c r="A162" t="s">
        <v>144</v>
      </c>
      <c r="B162"/>
      <c r="C162"/>
      <c r="D162"/>
      <c r="L162"/>
      <c r="M162"/>
      <c r="N162"/>
      <c r="O162"/>
      <c r="P162"/>
      <c r="Q162"/>
      <c r="R162"/>
      <c r="S162"/>
      <c r="T162"/>
      <c r="U162"/>
      <c r="V162"/>
      <c r="W162"/>
      <c r="X162"/>
      <c r="Y162"/>
      <c r="Z162"/>
      <c r="AA162"/>
      <c r="AB162"/>
      <c r="AC162"/>
      <c r="AD162"/>
      <c r="AE162"/>
    </row>
    <row r="163" spans="1:31" ht="12.75" hidden="1">
      <c r="A163" t="s">
        <v>145</v>
      </c>
      <c r="B163"/>
      <c r="C163"/>
      <c r="D163"/>
      <c r="L163"/>
      <c r="M163"/>
      <c r="N163"/>
      <c r="O163"/>
      <c r="P163"/>
      <c r="Q163"/>
      <c r="R163"/>
      <c r="S163"/>
      <c r="T163"/>
      <c r="U163"/>
      <c r="V163"/>
      <c r="W163"/>
      <c r="X163"/>
      <c r="Y163"/>
      <c r="Z163"/>
      <c r="AA163"/>
      <c r="AB163"/>
      <c r="AC163"/>
      <c r="AD163"/>
      <c r="AE163"/>
    </row>
    <row r="164" spans="1:31" ht="12.75" hidden="1">
      <c r="B164"/>
      <c r="C164"/>
      <c r="D164"/>
      <c r="L164"/>
      <c r="M164"/>
      <c r="N164"/>
      <c r="O164"/>
      <c r="P164"/>
      <c r="Q164"/>
      <c r="R164"/>
      <c r="S164"/>
      <c r="T164"/>
      <c r="U164"/>
      <c r="V164"/>
      <c r="W164"/>
      <c r="X164"/>
      <c r="Y164"/>
      <c r="Z164"/>
      <c r="AA164"/>
      <c r="AB164"/>
      <c r="AC164"/>
      <c r="AD164"/>
      <c r="AE164"/>
    </row>
    <row r="165" spans="1:31" ht="12.75" hidden="1">
      <c r="A165" s="4" t="s">
        <v>124</v>
      </c>
      <c r="B165"/>
      <c r="C165"/>
      <c r="D165"/>
      <c r="L165"/>
      <c r="M165"/>
      <c r="N165"/>
      <c r="O165"/>
      <c r="P165"/>
      <c r="Q165"/>
      <c r="R165"/>
      <c r="S165"/>
      <c r="T165"/>
      <c r="U165"/>
      <c r="V165"/>
      <c r="W165"/>
      <c r="X165"/>
      <c r="Y165"/>
      <c r="Z165"/>
      <c r="AA165"/>
      <c r="AB165"/>
      <c r="AC165"/>
      <c r="AD165"/>
      <c r="AE165"/>
    </row>
    <row r="166" spans="1:31" ht="12.75" hidden="1">
      <c r="A166" t="s">
        <v>125</v>
      </c>
      <c r="B166"/>
      <c r="C166"/>
      <c r="D166"/>
      <c r="L166"/>
      <c r="M166"/>
      <c r="N166"/>
      <c r="O166"/>
      <c r="P166"/>
      <c r="Q166"/>
      <c r="R166"/>
      <c r="S166"/>
      <c r="T166"/>
      <c r="U166"/>
      <c r="V166"/>
      <c r="W166"/>
      <c r="X166"/>
      <c r="Y166"/>
      <c r="Z166"/>
      <c r="AA166"/>
      <c r="AB166"/>
      <c r="AC166"/>
      <c r="AD166"/>
      <c r="AE166"/>
    </row>
    <row r="167" spans="1:31" ht="12.75" hidden="1">
      <c r="A167" t="s">
        <v>126</v>
      </c>
      <c r="B167"/>
      <c r="C167"/>
      <c r="D167"/>
      <c r="L167"/>
      <c r="M167"/>
      <c r="N167"/>
      <c r="O167"/>
      <c r="P167"/>
      <c r="Q167"/>
      <c r="R167"/>
      <c r="S167"/>
      <c r="T167"/>
      <c r="U167"/>
      <c r="V167"/>
      <c r="W167"/>
      <c r="X167"/>
      <c r="Y167"/>
      <c r="Z167"/>
      <c r="AA167"/>
      <c r="AB167"/>
      <c r="AC167"/>
      <c r="AD167"/>
      <c r="AE167"/>
    </row>
    <row r="168" spans="1:31" ht="12.75" hidden="1">
      <c r="B168"/>
      <c r="C168"/>
      <c r="D168"/>
      <c r="L168"/>
      <c r="M168"/>
      <c r="N168"/>
      <c r="O168"/>
      <c r="P168"/>
      <c r="Q168"/>
      <c r="R168"/>
      <c r="S168"/>
      <c r="T168"/>
      <c r="U168"/>
      <c r="V168"/>
      <c r="W168"/>
      <c r="X168"/>
      <c r="Y168"/>
      <c r="Z168"/>
      <c r="AA168"/>
      <c r="AB168"/>
      <c r="AC168"/>
      <c r="AD168"/>
      <c r="AE168"/>
    </row>
    <row r="169" spans="1:31" ht="12.75" hidden="1">
      <c r="A169" t="s">
        <v>146</v>
      </c>
      <c r="B169"/>
      <c r="C169"/>
      <c r="D169"/>
      <c r="L169"/>
      <c r="M169"/>
      <c r="N169"/>
      <c r="O169"/>
      <c r="P169"/>
      <c r="Q169"/>
      <c r="R169"/>
      <c r="S169"/>
      <c r="T169"/>
      <c r="U169"/>
      <c r="V169"/>
      <c r="W169"/>
      <c r="X169"/>
      <c r="Y169"/>
      <c r="Z169"/>
      <c r="AA169"/>
      <c r="AB169"/>
      <c r="AC169"/>
      <c r="AD169"/>
      <c r="AE169"/>
    </row>
    <row r="170" spans="1:31" ht="12.75" hidden="1">
      <c r="A170" t="s">
        <v>147</v>
      </c>
      <c r="B170"/>
      <c r="C170"/>
      <c r="D170"/>
      <c r="L170"/>
      <c r="M170"/>
      <c r="N170"/>
      <c r="O170"/>
      <c r="P170"/>
      <c r="Q170"/>
      <c r="R170"/>
      <c r="S170"/>
      <c r="T170"/>
      <c r="U170"/>
      <c r="V170"/>
      <c r="W170"/>
      <c r="X170"/>
      <c r="Y170"/>
      <c r="Z170"/>
      <c r="AA170"/>
      <c r="AB170"/>
      <c r="AC170"/>
      <c r="AD170"/>
      <c r="AE170"/>
    </row>
    <row r="171" spans="1:31" ht="12.75" hidden="1">
      <c r="B171"/>
      <c r="C171"/>
      <c r="D171"/>
      <c r="L171"/>
      <c r="M171"/>
      <c r="N171"/>
      <c r="O171"/>
      <c r="P171"/>
      <c r="Q171"/>
      <c r="R171"/>
      <c r="S171"/>
      <c r="T171"/>
      <c r="U171"/>
      <c r="V171"/>
      <c r="W171"/>
      <c r="X171"/>
      <c r="Y171"/>
      <c r="Z171"/>
      <c r="AA171"/>
      <c r="AB171"/>
      <c r="AC171"/>
      <c r="AD171"/>
      <c r="AE171"/>
    </row>
    <row r="172" spans="1:31" ht="12.75" hidden="1">
      <c r="A172" t="s">
        <v>148</v>
      </c>
      <c r="B172"/>
      <c r="C172"/>
      <c r="D172"/>
      <c r="L172"/>
      <c r="M172"/>
      <c r="N172"/>
      <c r="O172"/>
      <c r="P172"/>
      <c r="Q172"/>
      <c r="R172"/>
      <c r="S172"/>
      <c r="T172"/>
      <c r="U172"/>
      <c r="V172"/>
      <c r="W172"/>
      <c r="X172"/>
      <c r="Y172"/>
      <c r="Z172"/>
      <c r="AA172"/>
      <c r="AB172"/>
      <c r="AC172"/>
      <c r="AD172"/>
      <c r="AE172"/>
    </row>
    <row r="173" spans="1:31" ht="12.75" hidden="1">
      <c r="B173"/>
      <c r="C173"/>
      <c r="D173"/>
      <c r="L173"/>
      <c r="M173"/>
      <c r="N173"/>
      <c r="O173"/>
      <c r="P173"/>
      <c r="Q173"/>
      <c r="R173"/>
      <c r="S173"/>
      <c r="T173"/>
      <c r="U173"/>
      <c r="V173"/>
      <c r="W173"/>
      <c r="X173"/>
      <c r="Y173"/>
      <c r="Z173"/>
      <c r="AA173"/>
      <c r="AB173"/>
      <c r="AC173"/>
      <c r="AD173"/>
      <c r="AE173"/>
    </row>
    <row r="174" spans="1:31" ht="12.75" hidden="1">
      <c r="B174"/>
      <c r="C174"/>
      <c r="D174"/>
      <c r="L174"/>
      <c r="M174"/>
      <c r="N174"/>
      <c r="O174"/>
      <c r="P174"/>
      <c r="Q174"/>
      <c r="R174"/>
      <c r="S174"/>
      <c r="T174"/>
      <c r="U174"/>
      <c r="V174"/>
      <c r="W174"/>
      <c r="X174"/>
      <c r="Y174"/>
      <c r="Z174"/>
      <c r="AA174"/>
      <c r="AB174"/>
      <c r="AC174"/>
      <c r="AD174"/>
      <c r="AE174"/>
    </row>
    <row r="175" spans="1:31" ht="12.75" hidden="1">
      <c r="A175" s="4" t="s">
        <v>149</v>
      </c>
      <c r="B175"/>
      <c r="C175"/>
      <c r="D175"/>
      <c r="L175"/>
      <c r="M175"/>
      <c r="N175"/>
      <c r="O175"/>
      <c r="P175"/>
      <c r="Q175"/>
      <c r="R175"/>
      <c r="S175"/>
      <c r="T175"/>
      <c r="U175"/>
      <c r="V175"/>
      <c r="W175"/>
      <c r="X175"/>
      <c r="Y175"/>
      <c r="Z175"/>
      <c r="AA175"/>
      <c r="AB175"/>
      <c r="AC175"/>
      <c r="AD175"/>
      <c r="AE175"/>
    </row>
    <row r="176" spans="1:31" ht="12.75" hidden="1">
      <c r="B176"/>
      <c r="C176"/>
      <c r="D176"/>
      <c r="L176"/>
      <c r="M176"/>
      <c r="N176"/>
      <c r="O176"/>
      <c r="P176"/>
      <c r="Q176"/>
      <c r="R176"/>
      <c r="S176"/>
      <c r="T176"/>
      <c r="U176"/>
      <c r="V176"/>
      <c r="W176"/>
      <c r="X176"/>
      <c r="Y176"/>
      <c r="Z176"/>
      <c r="AA176"/>
      <c r="AB176"/>
      <c r="AC176"/>
      <c r="AD176"/>
      <c r="AE176"/>
    </row>
    <row r="177" spans="1:31" ht="12.75" hidden="1">
      <c r="B177"/>
      <c r="C177"/>
      <c r="D177"/>
      <c r="L177"/>
      <c r="M177"/>
      <c r="N177"/>
      <c r="O177"/>
      <c r="P177"/>
      <c r="Q177"/>
      <c r="R177"/>
      <c r="S177"/>
      <c r="T177"/>
      <c r="U177"/>
      <c r="V177"/>
      <c r="W177"/>
      <c r="X177"/>
      <c r="Y177"/>
      <c r="Z177"/>
      <c r="AA177"/>
      <c r="AB177"/>
      <c r="AC177"/>
      <c r="AD177"/>
      <c r="AE177"/>
    </row>
    <row r="178" spans="1:31" ht="12.75" hidden="1">
      <c r="A178" t="s">
        <v>150</v>
      </c>
      <c r="B178"/>
      <c r="C178"/>
      <c r="D178"/>
      <c r="L178"/>
      <c r="M178"/>
      <c r="N178"/>
      <c r="O178"/>
      <c r="P178"/>
      <c r="Q178"/>
      <c r="R178"/>
      <c r="S178"/>
      <c r="T178"/>
      <c r="U178"/>
      <c r="V178"/>
      <c r="W178"/>
      <c r="X178"/>
      <c r="Y178"/>
      <c r="Z178"/>
      <c r="AA178"/>
      <c r="AB178"/>
      <c r="AC178"/>
      <c r="AD178"/>
      <c r="AE178"/>
    </row>
    <row r="181" spans="1:31">
      <c r="C181" s="99"/>
    </row>
    <row r="182" spans="1:31" ht="14.25">
      <c r="B182"/>
      <c r="C182" s="100"/>
      <c r="D182"/>
      <c r="L182"/>
      <c r="M182"/>
      <c r="N182"/>
      <c r="O182"/>
      <c r="P182"/>
      <c r="Q182"/>
      <c r="R182"/>
      <c r="S182"/>
      <c r="T182"/>
      <c r="U182"/>
      <c r="V182"/>
      <c r="W182"/>
      <c r="X182"/>
      <c r="Y182"/>
      <c r="Z182"/>
      <c r="AA182"/>
      <c r="AB182"/>
      <c r="AC182"/>
      <c r="AD182"/>
      <c r="AE182"/>
    </row>
    <row r="183" spans="1:31">
      <c r="B183"/>
      <c r="C183" s="101"/>
      <c r="D183"/>
      <c r="L183"/>
      <c r="M183"/>
      <c r="N183"/>
      <c r="O183"/>
      <c r="P183"/>
      <c r="Q183"/>
      <c r="R183"/>
      <c r="S183"/>
      <c r="T183"/>
      <c r="U183"/>
      <c r="V183"/>
      <c r="W183"/>
      <c r="X183"/>
      <c r="Y183"/>
      <c r="Z183"/>
      <c r="AA183"/>
      <c r="AB183"/>
      <c r="AC183"/>
      <c r="AD183"/>
      <c r="AE183"/>
    </row>
    <row r="184" spans="1:31">
      <c r="B184"/>
      <c r="C184" s="102"/>
      <c r="D184"/>
      <c r="L184"/>
      <c r="M184"/>
      <c r="N184"/>
      <c r="O184"/>
      <c r="P184"/>
      <c r="Q184"/>
      <c r="R184"/>
      <c r="S184"/>
      <c r="T184"/>
      <c r="U184"/>
      <c r="V184"/>
      <c r="W184"/>
      <c r="X184"/>
      <c r="Y184"/>
      <c r="Z184"/>
      <c r="AA184"/>
      <c r="AB184"/>
      <c r="AC184"/>
      <c r="AD184"/>
      <c r="AE184"/>
    </row>
    <row r="185" spans="1:31">
      <c r="C185" s="99"/>
    </row>
    <row r="186" spans="1:31" ht="12.75">
      <c r="B186"/>
      <c r="C186" s="99"/>
      <c r="D186"/>
      <c r="L186"/>
      <c r="M186"/>
      <c r="N186"/>
      <c r="O186"/>
      <c r="P186"/>
      <c r="Q186"/>
      <c r="R186"/>
      <c r="S186"/>
      <c r="T186"/>
      <c r="U186"/>
      <c r="V186"/>
      <c r="W186"/>
      <c r="X186"/>
      <c r="Y186"/>
      <c r="Z186"/>
      <c r="AA186"/>
      <c r="AB186"/>
      <c r="AC186"/>
      <c r="AD186"/>
      <c r="AE186"/>
    </row>
    <row r="187" spans="1:31" ht="12.75">
      <c r="B187"/>
      <c r="D187"/>
      <c r="L187"/>
      <c r="M187"/>
      <c r="N187"/>
      <c r="O187"/>
      <c r="P187"/>
      <c r="Q187"/>
      <c r="R187"/>
      <c r="S187"/>
      <c r="T187"/>
      <c r="U187"/>
      <c r="V187"/>
      <c r="W187"/>
      <c r="X187"/>
      <c r="Y187"/>
      <c r="Z187"/>
      <c r="AA187"/>
      <c r="AB187"/>
      <c r="AC187"/>
      <c r="AD187"/>
      <c r="AE187"/>
    </row>
    <row r="189" spans="1:31" ht="12.75">
      <c r="B189"/>
      <c r="D189"/>
      <c r="L189"/>
      <c r="M189"/>
      <c r="N189"/>
      <c r="O189"/>
      <c r="P189"/>
      <c r="Q189"/>
      <c r="R189"/>
      <c r="S189"/>
      <c r="T189"/>
      <c r="U189"/>
      <c r="V189"/>
      <c r="W189"/>
      <c r="X189"/>
      <c r="Y189"/>
      <c r="Z189"/>
      <c r="AA189"/>
      <c r="AB189"/>
      <c r="AC189"/>
      <c r="AD189"/>
      <c r="AE189"/>
    </row>
    <row r="191" spans="1:31" ht="12.75">
      <c r="B191"/>
      <c r="D191"/>
      <c r="L191"/>
      <c r="M191"/>
      <c r="N191"/>
      <c r="O191"/>
      <c r="P191"/>
      <c r="Q191"/>
      <c r="R191"/>
      <c r="S191"/>
      <c r="T191"/>
      <c r="U191"/>
      <c r="V191"/>
      <c r="W191"/>
      <c r="X191"/>
      <c r="Y191"/>
      <c r="Z191"/>
      <c r="AA191"/>
      <c r="AB191"/>
      <c r="AC191"/>
      <c r="AD191"/>
      <c r="AE191"/>
    </row>
    <row r="196" spans="2:31" ht="12.75">
      <c r="B196"/>
      <c r="D196"/>
      <c r="L196"/>
      <c r="M196"/>
      <c r="N196"/>
      <c r="O196"/>
      <c r="P196"/>
      <c r="Q196"/>
      <c r="R196"/>
      <c r="S196"/>
      <c r="T196"/>
      <c r="U196"/>
      <c r="V196"/>
      <c r="W196"/>
      <c r="X196"/>
      <c r="Y196"/>
      <c r="Z196"/>
      <c r="AA196"/>
      <c r="AB196"/>
      <c r="AC196"/>
      <c r="AD196"/>
      <c r="AE196"/>
    </row>
    <row r="198" spans="2:31" ht="12.75">
      <c r="B198"/>
      <c r="D198"/>
      <c r="L198"/>
      <c r="M198"/>
      <c r="N198"/>
      <c r="O198"/>
      <c r="P198"/>
      <c r="Q198"/>
      <c r="R198"/>
      <c r="S198"/>
      <c r="T198"/>
      <c r="U198"/>
      <c r="V198"/>
      <c r="W198"/>
      <c r="X198"/>
      <c r="Y198"/>
      <c r="Z198"/>
      <c r="AA198"/>
      <c r="AB198"/>
      <c r="AC198"/>
      <c r="AD198"/>
      <c r="AE198"/>
    </row>
  </sheetData>
  <sheetProtection selectLockedCells="1" selectUnlockedCells="1"/>
  <mergeCells count="14">
    <mergeCell ref="H8:J8"/>
    <mergeCell ref="L8:N8"/>
    <mergeCell ref="A8:A9"/>
    <mergeCell ref="B8:B9"/>
    <mergeCell ref="C8:C9"/>
    <mergeCell ref="D8:D9"/>
    <mergeCell ref="E8:E9"/>
    <mergeCell ref="F8:G8"/>
    <mergeCell ref="A1:J1"/>
    <mergeCell ref="A2:J2"/>
    <mergeCell ref="A3:J3"/>
    <mergeCell ref="A4:J4"/>
    <mergeCell ref="A5:J5"/>
    <mergeCell ref="A6:J6"/>
  </mergeCells>
  <printOptions horizontalCentered="1"/>
  <pageMargins left="0.39374999999999999" right="0.39374999999999999" top="0.98402777777777783" bottom="0.98402777777777783" header="0.51181102362204722" footer="0.51181102362204722"/>
  <pageSetup paperSize="9" scale="51" firstPageNumber="0" fitToHeight="3" orientation="landscape" horizontalDpi="300" verticalDpi="300" r:id="rId1"/>
  <headerFooter alignWithMargins="0"/>
  <rowBreaks count="2" manualBreakCount="2">
    <brk id="36" max="16383" man="1"/>
    <brk id="7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view="pageBreakPreview" topLeftCell="A58" workbookViewId="0">
      <selection activeCell="B64" sqref="B64"/>
    </sheetView>
  </sheetViews>
  <sheetFormatPr defaultRowHeight="12.75"/>
  <cols>
    <col min="1" max="1" width="167.85546875" customWidth="1"/>
  </cols>
  <sheetData>
    <row r="1" spans="1:1">
      <c r="A1" s="157" t="s">
        <v>458</v>
      </c>
    </row>
    <row r="2" spans="1:1">
      <c r="A2" s="158" t="s">
        <v>459</v>
      </c>
    </row>
    <row r="3" spans="1:1">
      <c r="A3" s="157" t="s">
        <v>460</v>
      </c>
    </row>
    <row r="5" spans="1:1">
      <c r="A5" s="157" t="s">
        <v>461</v>
      </c>
    </row>
    <row r="7" spans="1:1">
      <c r="A7" s="157" t="s">
        <v>462</v>
      </c>
    </row>
    <row r="9" spans="1:1">
      <c r="A9" s="157" t="s">
        <v>463</v>
      </c>
    </row>
    <row r="15" spans="1:1">
      <c r="A15" s="158" t="s">
        <v>464</v>
      </c>
    </row>
    <row r="16" spans="1:1">
      <c r="A16" s="157" t="s">
        <v>465</v>
      </c>
    </row>
    <row r="18" spans="1:1">
      <c r="A18" s="157" t="s">
        <v>466</v>
      </c>
    </row>
    <row r="20" spans="1:1">
      <c r="A20" s="158" t="s">
        <v>467</v>
      </c>
    </row>
    <row r="22" spans="1:1">
      <c r="A22" t="s">
        <v>468</v>
      </c>
    </row>
    <row r="23" spans="1:1">
      <c r="A23" s="158" t="s">
        <v>469</v>
      </c>
    </row>
    <row r="25" spans="1:1">
      <c r="A25" t="s">
        <v>470</v>
      </c>
    </row>
    <row r="27" spans="1:1">
      <c r="A27" s="158" t="s">
        <v>471</v>
      </c>
    </row>
    <row r="29" spans="1:1">
      <c r="A29" s="158" t="s">
        <v>472</v>
      </c>
    </row>
    <row r="30" spans="1:1">
      <c r="A30" s="4"/>
    </row>
    <row r="31" spans="1:1">
      <c r="A31" s="157" t="s">
        <v>473</v>
      </c>
    </row>
  </sheetData>
  <sheetProtection selectLockedCells="1" selectUnlockedCells="1"/>
  <pageMargins left="0.51180555555555562" right="0.51180555555555562" top="0.78749999999999998" bottom="0.78749999999999998" header="0.51181102362204722" footer="0.51181102362204722"/>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3"/>
  <sheetViews>
    <sheetView view="pageBreakPreview" zoomScaleSheetLayoutView="100" workbookViewId="0">
      <selection activeCell="E5" sqref="E5"/>
    </sheetView>
  </sheetViews>
  <sheetFormatPr defaultRowHeight="12.75"/>
  <cols>
    <col min="2" max="2" width="11.7109375" customWidth="1"/>
    <col min="3" max="3" width="37.28515625" customWidth="1"/>
    <col min="4" max="4" width="8.28515625" customWidth="1"/>
    <col min="5" max="5" width="12" customWidth="1"/>
    <col min="6" max="6" width="10" customWidth="1"/>
    <col min="7" max="7" width="15.85546875" customWidth="1"/>
  </cols>
  <sheetData>
    <row r="1" spans="1:7" ht="21">
      <c r="A1" s="346" t="s">
        <v>13</v>
      </c>
      <c r="B1" s="346"/>
      <c r="C1" s="346"/>
      <c r="D1" s="346"/>
      <c r="E1" s="346"/>
      <c r="F1" s="346"/>
      <c r="G1" s="346"/>
    </row>
    <row r="2" spans="1:7" ht="21">
      <c r="A2" s="346" t="s">
        <v>14</v>
      </c>
      <c r="B2" s="346"/>
      <c r="C2" s="346"/>
      <c r="D2" s="346"/>
      <c r="E2" s="346"/>
      <c r="F2" s="346"/>
      <c r="G2" s="346"/>
    </row>
    <row r="3" spans="1:7" ht="21">
      <c r="A3" s="346" t="s">
        <v>1</v>
      </c>
      <c r="B3" s="346"/>
      <c r="C3" s="346"/>
      <c r="D3" s="346"/>
      <c r="E3" s="346"/>
      <c r="F3" s="346"/>
      <c r="G3" s="346"/>
    </row>
    <row r="4" spans="1:7" ht="18.75" customHeight="1">
      <c r="A4" s="347" t="s">
        <v>474</v>
      </c>
      <c r="B4" s="347"/>
      <c r="C4" s="347"/>
      <c r="D4" s="347"/>
      <c r="E4" s="347"/>
      <c r="F4" s="347"/>
      <c r="G4" s="347"/>
    </row>
    <row r="5" spans="1:7" ht="18.75">
      <c r="A5" s="348" t="s">
        <v>475</v>
      </c>
      <c r="B5" s="348"/>
      <c r="C5" s="348"/>
      <c r="D5" s="348"/>
      <c r="E5" s="348"/>
      <c r="F5" s="348"/>
      <c r="G5" s="348"/>
    </row>
    <row r="6" spans="1:7" ht="15.75" customHeight="1">
      <c r="A6" s="349" t="s">
        <v>476</v>
      </c>
      <c r="B6" s="349"/>
      <c r="C6" s="349"/>
      <c r="D6" s="349"/>
      <c r="E6" s="349"/>
      <c r="F6" s="349"/>
      <c r="G6" s="349"/>
    </row>
    <row r="7" spans="1:7" ht="22.5">
      <c r="A7" s="159" t="s">
        <v>477</v>
      </c>
      <c r="B7" s="159" t="s">
        <v>478</v>
      </c>
      <c r="C7" s="160" t="s">
        <v>479</v>
      </c>
      <c r="D7" s="159" t="s">
        <v>480</v>
      </c>
      <c r="E7" s="161" t="s">
        <v>481</v>
      </c>
      <c r="F7" s="161" t="s">
        <v>482</v>
      </c>
      <c r="G7" s="161" t="s">
        <v>483</v>
      </c>
    </row>
    <row r="8" spans="1:7" ht="45">
      <c r="A8" s="162" t="s">
        <v>484</v>
      </c>
      <c r="B8" s="162">
        <v>101021</v>
      </c>
      <c r="C8" s="163" t="s">
        <v>485</v>
      </c>
      <c r="D8" s="162" t="s">
        <v>486</v>
      </c>
      <c r="E8" s="164"/>
      <c r="F8" s="164"/>
      <c r="G8" s="164"/>
    </row>
    <row r="9" spans="1:7" ht="22.5">
      <c r="A9" s="163" t="s">
        <v>487</v>
      </c>
      <c r="B9" s="163">
        <v>370</v>
      </c>
      <c r="C9" s="163" t="s">
        <v>488</v>
      </c>
      <c r="D9" s="163" t="s">
        <v>47</v>
      </c>
      <c r="E9" s="163" t="s">
        <v>489</v>
      </c>
      <c r="F9" s="163">
        <v>91.5</v>
      </c>
      <c r="G9" s="163">
        <f t="shared" ref="G9:G22" si="0">ROUND(E9*F9,2)</f>
        <v>29.72</v>
      </c>
    </row>
    <row r="10" spans="1:7">
      <c r="A10" s="163" t="s">
        <v>487</v>
      </c>
      <c r="B10" s="163" t="s">
        <v>490</v>
      </c>
      <c r="C10" s="163" t="s">
        <v>491</v>
      </c>
      <c r="D10" s="163" t="s">
        <v>492</v>
      </c>
      <c r="E10" s="163" t="s">
        <v>493</v>
      </c>
      <c r="F10" s="163">
        <v>0.91</v>
      </c>
      <c r="G10" s="163">
        <f t="shared" si="0"/>
        <v>51.14</v>
      </c>
    </row>
    <row r="11" spans="1:7" ht="22.5">
      <c r="A11" s="163" t="s">
        <v>487</v>
      </c>
      <c r="B11" s="163">
        <v>4720</v>
      </c>
      <c r="C11" s="163" t="s">
        <v>494</v>
      </c>
      <c r="D11" s="163" t="s">
        <v>47</v>
      </c>
      <c r="E11" s="163" t="s">
        <v>495</v>
      </c>
      <c r="F11" s="163">
        <v>90.73</v>
      </c>
      <c r="G11" s="163">
        <f t="shared" si="0"/>
        <v>18.13</v>
      </c>
    </row>
    <row r="12" spans="1:7" ht="22.5">
      <c r="A12" s="163" t="s">
        <v>487</v>
      </c>
      <c r="B12" s="163" t="s">
        <v>496</v>
      </c>
      <c r="C12" s="163" t="s">
        <v>497</v>
      </c>
      <c r="D12" s="163" t="s">
        <v>47</v>
      </c>
      <c r="E12" s="163" t="s">
        <v>498</v>
      </c>
      <c r="F12" s="163">
        <v>78.58</v>
      </c>
      <c r="G12" s="163">
        <f t="shared" si="0"/>
        <v>4.91</v>
      </c>
    </row>
    <row r="13" spans="1:7" ht="45">
      <c r="A13" s="163" t="s">
        <v>499</v>
      </c>
      <c r="B13" s="163" t="s">
        <v>500</v>
      </c>
      <c r="C13" s="163" t="s">
        <v>501</v>
      </c>
      <c r="D13" s="163" t="s">
        <v>502</v>
      </c>
      <c r="E13" s="163" t="s">
        <v>503</v>
      </c>
      <c r="F13" s="163">
        <v>192.21</v>
      </c>
      <c r="G13" s="163">
        <f t="shared" si="0"/>
        <v>0.92</v>
      </c>
    </row>
    <row r="14" spans="1:7" ht="45">
      <c r="A14" s="163" t="s">
        <v>499</v>
      </c>
      <c r="B14" s="163">
        <v>5942</v>
      </c>
      <c r="C14" s="163" t="s">
        <v>504</v>
      </c>
      <c r="D14" s="163" t="s">
        <v>505</v>
      </c>
      <c r="E14" s="163" t="s">
        <v>506</v>
      </c>
      <c r="F14" s="163">
        <v>81.599999999999994</v>
      </c>
      <c r="G14" s="163">
        <f t="shared" si="0"/>
        <v>1.46</v>
      </c>
    </row>
    <row r="15" spans="1:7" ht="33.75">
      <c r="A15" s="163" t="s">
        <v>499</v>
      </c>
      <c r="B15" s="163">
        <v>7030</v>
      </c>
      <c r="C15" s="163" t="s">
        <v>507</v>
      </c>
      <c r="D15" s="163" t="s">
        <v>502</v>
      </c>
      <c r="E15" s="163" t="s">
        <v>508</v>
      </c>
      <c r="F15" s="163">
        <v>267.45</v>
      </c>
      <c r="G15" s="163">
        <f t="shared" si="0"/>
        <v>12.17</v>
      </c>
    </row>
    <row r="16" spans="1:7" ht="33.75">
      <c r="A16" s="163" t="s">
        <v>487</v>
      </c>
      <c r="B16" s="165" t="s">
        <v>509</v>
      </c>
      <c r="C16" s="163" t="s">
        <v>510</v>
      </c>
      <c r="D16" s="163" t="s">
        <v>486</v>
      </c>
      <c r="E16" s="163" t="s">
        <v>511</v>
      </c>
      <c r="F16" s="163">
        <f>ROUND(3.31247765881993*1000/(1-0.18),2)</f>
        <v>4039.61</v>
      </c>
      <c r="G16" s="163">
        <f t="shared" si="0"/>
        <v>255.42</v>
      </c>
    </row>
    <row r="17" spans="1:7" ht="22.5">
      <c r="A17" s="163" t="s">
        <v>499</v>
      </c>
      <c r="B17" s="163" t="s">
        <v>512</v>
      </c>
      <c r="C17" s="163" t="s">
        <v>513</v>
      </c>
      <c r="D17" s="163" t="s">
        <v>27</v>
      </c>
      <c r="E17" s="163" t="s">
        <v>508</v>
      </c>
      <c r="F17" s="163">
        <v>20.079999999999998</v>
      </c>
      <c r="G17" s="163">
        <f t="shared" si="0"/>
        <v>0.91</v>
      </c>
    </row>
    <row r="18" spans="1:7" ht="22.5">
      <c r="A18" s="163" t="s">
        <v>499</v>
      </c>
      <c r="B18" s="163" t="s">
        <v>514</v>
      </c>
      <c r="C18" s="163" t="s">
        <v>515</v>
      </c>
      <c r="D18" s="163" t="s">
        <v>27</v>
      </c>
      <c r="E18" s="163" t="s">
        <v>516</v>
      </c>
      <c r="F18" s="163">
        <v>50.22</v>
      </c>
      <c r="G18" s="163">
        <f t="shared" si="0"/>
        <v>1.1399999999999999</v>
      </c>
    </row>
    <row r="19" spans="1:7" ht="33.75">
      <c r="A19" s="163" t="s">
        <v>499</v>
      </c>
      <c r="B19" s="163">
        <v>93433</v>
      </c>
      <c r="C19" s="163" t="s">
        <v>517</v>
      </c>
      <c r="D19" s="163" t="s">
        <v>502</v>
      </c>
      <c r="E19" s="163" t="s">
        <v>518</v>
      </c>
      <c r="F19" s="163">
        <v>2703.86</v>
      </c>
      <c r="G19" s="163">
        <f t="shared" si="0"/>
        <v>47.59</v>
      </c>
    </row>
    <row r="20" spans="1:7" ht="33.75">
      <c r="A20" s="163" t="s">
        <v>499</v>
      </c>
      <c r="B20" s="163">
        <v>93434</v>
      </c>
      <c r="C20" s="163" t="s">
        <v>519</v>
      </c>
      <c r="D20" s="163" t="s">
        <v>505</v>
      </c>
      <c r="E20" s="163" t="s">
        <v>520</v>
      </c>
      <c r="F20" s="163">
        <v>350.66</v>
      </c>
      <c r="G20" s="163">
        <f t="shared" si="0"/>
        <v>1.79</v>
      </c>
    </row>
    <row r="21" spans="1:7" ht="33.75">
      <c r="A21" s="163" t="s">
        <v>499</v>
      </c>
      <c r="B21" s="163">
        <v>95872</v>
      </c>
      <c r="C21" s="163" t="s">
        <v>521</v>
      </c>
      <c r="D21" s="163" t="s">
        <v>502</v>
      </c>
      <c r="E21" s="163" t="s">
        <v>518</v>
      </c>
      <c r="F21" s="163">
        <v>295.3</v>
      </c>
      <c r="G21" s="163">
        <f t="shared" si="0"/>
        <v>5.2</v>
      </c>
    </row>
    <row r="22" spans="1:7" ht="33.75">
      <c r="A22" s="163" t="s">
        <v>499</v>
      </c>
      <c r="B22" s="163" t="s">
        <v>522</v>
      </c>
      <c r="C22" s="163" t="s">
        <v>523</v>
      </c>
      <c r="D22" s="163" t="s">
        <v>505</v>
      </c>
      <c r="E22" s="163" t="s">
        <v>520</v>
      </c>
      <c r="F22" s="163">
        <v>13.75</v>
      </c>
      <c r="G22" s="163">
        <f t="shared" si="0"/>
        <v>7.0000000000000007E-2</v>
      </c>
    </row>
    <row r="23" spans="1:7" ht="15.75">
      <c r="A23" s="162"/>
      <c r="B23" s="162"/>
      <c r="C23" s="166"/>
      <c r="D23" s="162"/>
      <c r="E23" s="164"/>
      <c r="F23" s="167"/>
      <c r="G23" s="168">
        <f>SUM(G9:G22)</f>
        <v>430.57</v>
      </c>
    </row>
    <row r="24" spans="1:7" ht="15.75">
      <c r="A24" s="162"/>
      <c r="B24" s="162"/>
      <c r="C24" s="166"/>
      <c r="D24" s="162"/>
      <c r="E24" s="164"/>
      <c r="F24" s="167"/>
      <c r="G24" s="169"/>
    </row>
    <row r="25" spans="1:7" ht="22.5">
      <c r="A25" s="170" t="s">
        <v>524</v>
      </c>
      <c r="B25" s="162"/>
      <c r="C25" s="166"/>
      <c r="D25" s="162"/>
      <c r="E25" s="164"/>
      <c r="F25" s="167"/>
      <c r="G25" s="167"/>
    </row>
    <row r="26" spans="1:7" ht="12.75" customHeight="1">
      <c r="A26" s="350" t="s">
        <v>525</v>
      </c>
      <c r="B26" s="350"/>
      <c r="C26" s="350"/>
      <c r="D26" s="350"/>
      <c r="E26" s="350"/>
      <c r="F26" s="350"/>
      <c r="G26" s="350"/>
    </row>
    <row r="27" spans="1:7">
      <c r="A27" s="351"/>
      <c r="B27" s="351"/>
      <c r="C27" s="351"/>
      <c r="D27" s="351"/>
      <c r="E27" s="351"/>
      <c r="F27" s="351"/>
      <c r="G27" s="351"/>
    </row>
    <row r="28" spans="1:7">
      <c r="A28" s="171"/>
      <c r="B28" s="171"/>
      <c r="C28" s="172"/>
      <c r="D28" s="171"/>
      <c r="E28" s="173"/>
      <c r="F28" s="174"/>
      <c r="G28" s="174"/>
    </row>
    <row r="29" spans="1:7" ht="19.5" customHeight="1">
      <c r="A29" s="352" t="s">
        <v>526</v>
      </c>
      <c r="B29" s="352"/>
      <c r="C29" s="352"/>
      <c r="D29" s="352"/>
      <c r="E29" s="352"/>
      <c r="F29" s="352"/>
      <c r="G29" s="352"/>
    </row>
    <row r="30" spans="1:7" ht="22.5">
      <c r="A30" s="159" t="s">
        <v>477</v>
      </c>
      <c r="B30" s="159" t="s">
        <v>478</v>
      </c>
      <c r="C30" s="160" t="s">
        <v>479</v>
      </c>
      <c r="D30" s="159" t="s">
        <v>480</v>
      </c>
      <c r="E30" s="161" t="s">
        <v>481</v>
      </c>
      <c r="F30" s="161" t="s">
        <v>482</v>
      </c>
      <c r="G30" s="161" t="s">
        <v>483</v>
      </c>
    </row>
    <row r="31" spans="1:7" ht="48">
      <c r="A31" s="162" t="s">
        <v>484</v>
      </c>
      <c r="B31" s="162">
        <v>95995</v>
      </c>
      <c r="C31" s="175" t="s">
        <v>527</v>
      </c>
      <c r="D31" s="162" t="s">
        <v>47</v>
      </c>
      <c r="E31" s="164"/>
      <c r="F31" s="164"/>
      <c r="G31" s="164"/>
    </row>
    <row r="32" spans="1:7" ht="14.25">
      <c r="A32" s="162"/>
      <c r="B32" s="162"/>
      <c r="C32" s="166"/>
      <c r="D32" s="162"/>
      <c r="E32" s="164"/>
      <c r="F32" s="167"/>
      <c r="G32" s="167"/>
    </row>
    <row r="33" spans="1:7" ht="45">
      <c r="A33" s="176" t="s">
        <v>487</v>
      </c>
      <c r="B33" s="176">
        <v>1518</v>
      </c>
      <c r="C33" s="177" t="s">
        <v>528</v>
      </c>
      <c r="D33" s="176" t="s">
        <v>486</v>
      </c>
      <c r="E33" s="178">
        <v>0</v>
      </c>
      <c r="F33" s="179">
        <v>0</v>
      </c>
      <c r="G33" s="179">
        <v>0</v>
      </c>
    </row>
    <row r="34" spans="1:7" ht="22.5">
      <c r="A34" s="162" t="s">
        <v>529</v>
      </c>
      <c r="B34" s="162" t="s">
        <v>530</v>
      </c>
      <c r="C34" s="163" t="s">
        <v>531</v>
      </c>
      <c r="D34" s="162" t="s">
        <v>486</v>
      </c>
      <c r="E34" s="180">
        <v>2.5548000000000002</v>
      </c>
      <c r="F34" s="181">
        <f>G23</f>
        <v>430.57</v>
      </c>
      <c r="G34" s="164">
        <f t="shared" ref="G34:G44" si="1">ROUNDDOWN(E34*F34,2)</f>
        <v>1100.02</v>
      </c>
    </row>
    <row r="35" spans="1:7" ht="45">
      <c r="A35" s="162" t="s">
        <v>529</v>
      </c>
      <c r="B35" s="162" t="s">
        <v>532</v>
      </c>
      <c r="C35" s="163" t="s">
        <v>533</v>
      </c>
      <c r="D35" s="162" t="s">
        <v>502</v>
      </c>
      <c r="E35" s="180" t="s">
        <v>534</v>
      </c>
      <c r="F35" s="181">
        <v>371.9</v>
      </c>
      <c r="G35" s="164">
        <f t="shared" si="1"/>
        <v>17.25</v>
      </c>
    </row>
    <row r="36" spans="1:7" ht="45">
      <c r="A36" s="162" t="s">
        <v>529</v>
      </c>
      <c r="B36" s="162" t="s">
        <v>535</v>
      </c>
      <c r="C36" s="163" t="s">
        <v>536</v>
      </c>
      <c r="D36" s="162" t="s">
        <v>505</v>
      </c>
      <c r="E36" s="180" t="s">
        <v>537</v>
      </c>
      <c r="F36" s="181">
        <v>148.66</v>
      </c>
      <c r="G36" s="164">
        <f t="shared" si="1"/>
        <v>14.1</v>
      </c>
    </row>
    <row r="37" spans="1:7" ht="22.5">
      <c r="A37" s="162" t="s">
        <v>529</v>
      </c>
      <c r="B37" s="162">
        <v>88314</v>
      </c>
      <c r="C37" s="163" t="s">
        <v>538</v>
      </c>
      <c r="D37" s="162" t="s">
        <v>27</v>
      </c>
      <c r="E37" s="180" t="s">
        <v>539</v>
      </c>
      <c r="F37" s="181">
        <v>19.96</v>
      </c>
      <c r="G37" s="164">
        <f t="shared" si="1"/>
        <v>22.55</v>
      </c>
    </row>
    <row r="38" spans="1:7" ht="67.5">
      <c r="A38" s="162" t="s">
        <v>529</v>
      </c>
      <c r="B38" s="162">
        <v>91386</v>
      </c>
      <c r="C38" s="163" t="s">
        <v>540</v>
      </c>
      <c r="D38" s="162" t="s">
        <v>502</v>
      </c>
      <c r="E38" s="180" t="s">
        <v>534</v>
      </c>
      <c r="F38" s="181">
        <v>271.45999999999998</v>
      </c>
      <c r="G38" s="164">
        <f t="shared" si="1"/>
        <v>12.59</v>
      </c>
    </row>
    <row r="39" spans="1:7" ht="45">
      <c r="A39" s="162" t="s">
        <v>529</v>
      </c>
      <c r="B39" s="162" t="s">
        <v>541</v>
      </c>
      <c r="C39" s="163" t="s">
        <v>542</v>
      </c>
      <c r="D39" s="162" t="s">
        <v>502</v>
      </c>
      <c r="E39" s="180" t="s">
        <v>543</v>
      </c>
      <c r="F39" s="181">
        <v>239.79</v>
      </c>
      <c r="G39" s="164">
        <f t="shared" si="1"/>
        <v>19.3</v>
      </c>
    </row>
    <row r="40" spans="1:7" ht="45">
      <c r="A40" s="162" t="s">
        <v>529</v>
      </c>
      <c r="B40" s="162" t="s">
        <v>544</v>
      </c>
      <c r="C40" s="163" t="s">
        <v>545</v>
      </c>
      <c r="D40" s="162" t="s">
        <v>505</v>
      </c>
      <c r="E40" s="180" t="s">
        <v>546</v>
      </c>
      <c r="F40" s="181">
        <v>90.71</v>
      </c>
      <c r="G40" s="164">
        <f t="shared" si="1"/>
        <v>5.5</v>
      </c>
    </row>
    <row r="41" spans="1:7" ht="33.75">
      <c r="A41" s="162" t="s">
        <v>529</v>
      </c>
      <c r="B41" s="162" t="s">
        <v>547</v>
      </c>
      <c r="C41" s="163" t="s">
        <v>548</v>
      </c>
      <c r="D41" s="162" t="s">
        <v>505</v>
      </c>
      <c r="E41" s="180" t="s">
        <v>549</v>
      </c>
      <c r="F41" s="181">
        <v>58.38</v>
      </c>
      <c r="G41" s="164">
        <f t="shared" si="1"/>
        <v>6.25</v>
      </c>
    </row>
    <row r="42" spans="1:7" ht="33.75">
      <c r="A42" s="162" t="s">
        <v>529</v>
      </c>
      <c r="B42" s="162" t="s">
        <v>550</v>
      </c>
      <c r="C42" s="163" t="s">
        <v>551</v>
      </c>
      <c r="D42" s="162" t="s">
        <v>502</v>
      </c>
      <c r="E42" s="180" t="s">
        <v>552</v>
      </c>
      <c r="F42" s="181">
        <v>145.94</v>
      </c>
      <c r="G42" s="164">
        <f t="shared" si="1"/>
        <v>4.97</v>
      </c>
    </row>
    <row r="43" spans="1:7" ht="45">
      <c r="A43" s="162" t="s">
        <v>529</v>
      </c>
      <c r="B43" s="162" t="s">
        <v>553</v>
      </c>
      <c r="C43" s="163" t="s">
        <v>554</v>
      </c>
      <c r="D43" s="162" t="s">
        <v>502</v>
      </c>
      <c r="E43" s="180" t="s">
        <v>555</v>
      </c>
      <c r="F43" s="181">
        <v>227.58</v>
      </c>
      <c r="G43" s="164">
        <f t="shared" si="1"/>
        <v>9.5299999999999994</v>
      </c>
    </row>
    <row r="44" spans="1:7" ht="45">
      <c r="A44" s="162" t="s">
        <v>529</v>
      </c>
      <c r="B44" s="162" t="s">
        <v>556</v>
      </c>
      <c r="C44" s="163" t="s">
        <v>557</v>
      </c>
      <c r="D44" s="162" t="s">
        <v>505</v>
      </c>
      <c r="E44" s="180" t="s">
        <v>558</v>
      </c>
      <c r="F44" s="181">
        <v>97.34</v>
      </c>
      <c r="G44" s="164">
        <f t="shared" si="1"/>
        <v>9.6300000000000008</v>
      </c>
    </row>
    <row r="45" spans="1:7" ht="15.75">
      <c r="A45" s="162"/>
      <c r="B45" s="162"/>
      <c r="C45" s="166"/>
      <c r="D45" s="162"/>
      <c r="E45" s="164"/>
      <c r="F45" s="167"/>
      <c r="G45" s="168">
        <f>ROUND(SUM(G33:G44),2)</f>
        <v>1221.69</v>
      </c>
    </row>
    <row r="46" spans="1:7" ht="12.75" customHeight="1">
      <c r="A46" s="350" t="s">
        <v>559</v>
      </c>
      <c r="B46" s="350"/>
      <c r="C46" s="350"/>
      <c r="D46" s="350"/>
      <c r="E46" s="350"/>
      <c r="F46" s="350"/>
      <c r="G46" s="350"/>
    </row>
    <row r="47" spans="1:7" ht="12.75" customHeight="1">
      <c r="A47" s="350" t="s">
        <v>560</v>
      </c>
      <c r="B47" s="350"/>
      <c r="C47" s="350"/>
      <c r="D47" s="350"/>
      <c r="E47" s="350"/>
      <c r="F47" s="350"/>
      <c r="G47" s="350"/>
    </row>
    <row r="48" spans="1:7" ht="15">
      <c r="A48" s="182"/>
      <c r="B48" s="182"/>
      <c r="C48" s="182"/>
      <c r="D48" s="182"/>
      <c r="E48" s="182"/>
      <c r="F48" s="183"/>
      <c r="G48" s="183"/>
    </row>
    <row r="49" spans="1:7" ht="19.5" customHeight="1">
      <c r="A49" s="352" t="s">
        <v>561</v>
      </c>
      <c r="B49" s="352"/>
      <c r="C49" s="352"/>
      <c r="D49" s="352"/>
      <c r="E49" s="352"/>
      <c r="F49" s="352"/>
      <c r="G49" s="352"/>
    </row>
    <row r="50" spans="1:7" ht="22.5">
      <c r="A50" s="159" t="s">
        <v>477</v>
      </c>
      <c r="B50" s="159" t="s">
        <v>478</v>
      </c>
      <c r="C50" s="160" t="s">
        <v>479</v>
      </c>
      <c r="D50" s="159" t="s">
        <v>480</v>
      </c>
      <c r="E50" s="161" t="s">
        <v>481</v>
      </c>
      <c r="F50" s="161" t="s">
        <v>482</v>
      </c>
      <c r="G50" s="161" t="s">
        <v>483</v>
      </c>
    </row>
    <row r="51" spans="1:7" ht="22.5">
      <c r="A51" s="184" t="s">
        <v>32</v>
      </c>
      <c r="B51" s="184" t="s">
        <v>562</v>
      </c>
      <c r="C51" s="184" t="s">
        <v>563</v>
      </c>
      <c r="D51" s="184" t="s">
        <v>174</v>
      </c>
      <c r="E51" s="184"/>
      <c r="F51" s="184" t="s">
        <v>482</v>
      </c>
      <c r="G51" s="184" t="s">
        <v>483</v>
      </c>
    </row>
    <row r="52" spans="1:7" ht="22.5">
      <c r="A52" s="163" t="s">
        <v>487</v>
      </c>
      <c r="B52" s="163">
        <v>34498</v>
      </c>
      <c r="C52" s="163" t="s">
        <v>564</v>
      </c>
      <c r="D52" s="163" t="s">
        <v>565</v>
      </c>
      <c r="E52" s="163" t="s">
        <v>566</v>
      </c>
      <c r="F52" s="181">
        <v>116.4</v>
      </c>
      <c r="G52" s="163">
        <f t="shared" ref="G52:G55" si="2">E52*F52</f>
        <v>2.5491600000000001</v>
      </c>
    </row>
    <row r="53" spans="1:7">
      <c r="A53" s="163" t="s">
        <v>487</v>
      </c>
      <c r="B53" s="163" t="s">
        <v>567</v>
      </c>
      <c r="C53" s="163" t="s">
        <v>568</v>
      </c>
      <c r="D53" s="163" t="s">
        <v>174</v>
      </c>
      <c r="E53" s="163" t="s">
        <v>569</v>
      </c>
      <c r="F53" s="181">
        <v>6.8400000000000002E-2</v>
      </c>
      <c r="G53" s="163">
        <f t="shared" si="2"/>
        <v>7.5240000000000015E-2</v>
      </c>
    </row>
    <row r="54" spans="1:7" ht="22.5">
      <c r="A54" s="163" t="s">
        <v>499</v>
      </c>
      <c r="B54" s="163">
        <v>88239</v>
      </c>
      <c r="C54" s="163" t="s">
        <v>570</v>
      </c>
      <c r="D54" s="163" t="s">
        <v>27</v>
      </c>
      <c r="E54" s="163" t="s">
        <v>571</v>
      </c>
      <c r="F54" s="181">
        <v>21.04</v>
      </c>
      <c r="G54" s="163">
        <f t="shared" si="2"/>
        <v>2.2891519999999996</v>
      </c>
    </row>
    <row r="55" spans="1:7" ht="22.5">
      <c r="A55" s="163" t="s">
        <v>499</v>
      </c>
      <c r="B55" s="163">
        <v>88262</v>
      </c>
      <c r="C55" s="163" t="s">
        <v>572</v>
      </c>
      <c r="D55" s="163" t="s">
        <v>27</v>
      </c>
      <c r="E55" s="163" t="s">
        <v>573</v>
      </c>
      <c r="F55" s="181">
        <v>23.77</v>
      </c>
      <c r="G55" s="163">
        <f t="shared" si="2"/>
        <v>3.289768</v>
      </c>
    </row>
    <row r="56" spans="1:7" ht="78.75">
      <c r="A56" s="163" t="s">
        <v>574</v>
      </c>
      <c r="B56" s="163"/>
      <c r="C56" s="163"/>
      <c r="D56" s="163"/>
      <c r="E56" s="163"/>
      <c r="F56" s="163"/>
      <c r="G56" s="166">
        <f>ROUND(SUM(G52:G55),2)</f>
        <v>8.1999999999999993</v>
      </c>
    </row>
    <row r="57" spans="1:7" ht="15">
      <c r="A57" s="183"/>
      <c r="B57" s="183"/>
      <c r="C57" s="183"/>
      <c r="D57" s="183"/>
      <c r="E57" s="183"/>
      <c r="F57" s="183"/>
      <c r="G57" s="183"/>
    </row>
    <row r="58" spans="1:7" ht="19.5" customHeight="1">
      <c r="A58" s="352" t="s">
        <v>575</v>
      </c>
      <c r="B58" s="352"/>
      <c r="C58" s="352"/>
      <c r="D58" s="352"/>
      <c r="E58" s="352"/>
      <c r="F58" s="352"/>
      <c r="G58" s="185"/>
    </row>
    <row r="59" spans="1:7" ht="22.5">
      <c r="A59" s="159" t="s">
        <v>477</v>
      </c>
      <c r="B59" s="159" t="s">
        <v>478</v>
      </c>
      <c r="C59" s="160" t="s">
        <v>479</v>
      </c>
      <c r="D59" s="159" t="s">
        <v>480</v>
      </c>
      <c r="E59" s="161" t="s">
        <v>481</v>
      </c>
      <c r="F59" s="161" t="s">
        <v>482</v>
      </c>
      <c r="G59" s="161" t="s">
        <v>483</v>
      </c>
    </row>
    <row r="60" spans="1:7" ht="12.75" customHeight="1">
      <c r="A60" s="353" t="s">
        <v>576</v>
      </c>
      <c r="B60" s="353"/>
      <c r="C60" s="353"/>
      <c r="D60" s="186"/>
      <c r="E60" s="186"/>
      <c r="F60" s="186"/>
      <c r="G60" s="187"/>
    </row>
    <row r="61" spans="1:7" ht="22.5">
      <c r="A61" s="188" t="s">
        <v>577</v>
      </c>
      <c r="B61" s="188" t="s">
        <v>578</v>
      </c>
      <c r="C61" s="189" t="s">
        <v>579</v>
      </c>
      <c r="D61" s="188" t="s">
        <v>480</v>
      </c>
      <c r="E61" s="188" t="s">
        <v>580</v>
      </c>
      <c r="F61" s="161" t="s">
        <v>482</v>
      </c>
      <c r="G61" s="161" t="s">
        <v>483</v>
      </c>
    </row>
    <row r="62" spans="1:7" ht="33.75">
      <c r="A62" s="190" t="s">
        <v>487</v>
      </c>
      <c r="B62" s="190" t="s">
        <v>581</v>
      </c>
      <c r="C62" s="163" t="s">
        <v>582</v>
      </c>
      <c r="D62" s="190" t="s">
        <v>174</v>
      </c>
      <c r="E62" s="190" t="s">
        <v>583</v>
      </c>
      <c r="F62" s="181">
        <v>5.54</v>
      </c>
      <c r="G62" s="191">
        <f t="shared" ref="G62:G68" si="3">E62*F62</f>
        <v>5.54</v>
      </c>
    </row>
    <row r="63" spans="1:7" ht="33.75">
      <c r="A63" s="190" t="s">
        <v>487</v>
      </c>
      <c r="B63" s="190" t="s">
        <v>584</v>
      </c>
      <c r="C63" s="163" t="s">
        <v>585</v>
      </c>
      <c r="D63" s="190" t="s">
        <v>174</v>
      </c>
      <c r="E63" s="190" t="s">
        <v>586</v>
      </c>
      <c r="F63" s="181">
        <v>6.84</v>
      </c>
      <c r="G63" s="191">
        <f t="shared" si="3"/>
        <v>27.36</v>
      </c>
    </row>
    <row r="64" spans="1:7" ht="33.75">
      <c r="A64" s="190" t="s">
        <v>487</v>
      </c>
      <c r="B64" s="190" t="s">
        <v>587</v>
      </c>
      <c r="C64" s="163" t="s">
        <v>588</v>
      </c>
      <c r="D64" s="190" t="s">
        <v>41</v>
      </c>
      <c r="E64" s="190" t="s">
        <v>583</v>
      </c>
      <c r="F64" s="181">
        <v>250</v>
      </c>
      <c r="G64" s="191">
        <f t="shared" si="3"/>
        <v>250</v>
      </c>
    </row>
    <row r="65" spans="1:7" ht="22.5">
      <c r="A65" s="190" t="s">
        <v>487</v>
      </c>
      <c r="B65" s="190" t="s">
        <v>589</v>
      </c>
      <c r="C65" s="163" t="s">
        <v>590</v>
      </c>
      <c r="D65" s="190" t="s">
        <v>492</v>
      </c>
      <c r="E65" s="190" t="s">
        <v>591</v>
      </c>
      <c r="F65" s="181">
        <v>14.03</v>
      </c>
      <c r="G65" s="191">
        <f t="shared" si="3"/>
        <v>1.5432999999999999</v>
      </c>
    </row>
    <row r="66" spans="1:7" ht="24">
      <c r="A66" s="190" t="s">
        <v>499</v>
      </c>
      <c r="B66" s="190" t="s">
        <v>592</v>
      </c>
      <c r="C66" s="163" t="s">
        <v>572</v>
      </c>
      <c r="D66" s="190" t="s">
        <v>27</v>
      </c>
      <c r="E66" s="190" t="s">
        <v>583</v>
      </c>
      <c r="F66" s="181">
        <v>23.77</v>
      </c>
      <c r="G66" s="191">
        <f t="shared" si="3"/>
        <v>23.77</v>
      </c>
    </row>
    <row r="67" spans="1:7" ht="24">
      <c r="A67" s="190" t="s">
        <v>499</v>
      </c>
      <c r="B67" s="190" t="s">
        <v>512</v>
      </c>
      <c r="C67" s="163" t="s">
        <v>513</v>
      </c>
      <c r="D67" s="190" t="s">
        <v>27</v>
      </c>
      <c r="E67" s="190" t="s">
        <v>593</v>
      </c>
      <c r="F67" s="181">
        <v>20.079999999999998</v>
      </c>
      <c r="G67" s="191">
        <f t="shared" si="3"/>
        <v>40.159999999999997</v>
      </c>
    </row>
    <row r="68" spans="1:7" ht="45">
      <c r="A68" s="190" t="s">
        <v>499</v>
      </c>
      <c r="B68" s="190" t="s">
        <v>594</v>
      </c>
      <c r="C68" s="163" t="s">
        <v>595</v>
      </c>
      <c r="D68" s="190" t="s">
        <v>47</v>
      </c>
      <c r="E68" s="190" t="s">
        <v>596</v>
      </c>
      <c r="F68" s="181">
        <v>394.76</v>
      </c>
      <c r="G68" s="191">
        <f t="shared" si="3"/>
        <v>3.9476</v>
      </c>
    </row>
    <row r="69" spans="1:7" ht="15">
      <c r="A69" s="183"/>
      <c r="B69" s="183"/>
      <c r="C69" s="183"/>
      <c r="D69" s="183"/>
      <c r="E69" s="183"/>
      <c r="F69" s="183"/>
      <c r="G69" s="192">
        <f>SUM(G62:G68)</f>
        <v>352.32089999999999</v>
      </c>
    </row>
    <row r="70" spans="1:7" ht="15">
      <c r="A70" s="183"/>
      <c r="B70" s="183"/>
      <c r="C70" s="183"/>
      <c r="D70" s="183"/>
      <c r="E70" s="183"/>
      <c r="F70" s="183"/>
      <c r="G70" s="183"/>
    </row>
    <row r="71" spans="1:7" ht="19.5" customHeight="1">
      <c r="A71" s="352" t="s">
        <v>597</v>
      </c>
      <c r="B71" s="352"/>
      <c r="C71" s="352"/>
      <c r="D71" s="352"/>
      <c r="E71" s="352"/>
      <c r="F71" s="352"/>
      <c r="G71" s="183"/>
    </row>
    <row r="72" spans="1:7" ht="22.5">
      <c r="A72" s="159" t="s">
        <v>477</v>
      </c>
      <c r="B72" s="159" t="s">
        <v>478</v>
      </c>
      <c r="C72" s="160" t="s">
        <v>479</v>
      </c>
      <c r="D72" s="159" t="s">
        <v>480</v>
      </c>
      <c r="E72" s="161" t="s">
        <v>481</v>
      </c>
      <c r="F72" s="161" t="s">
        <v>482</v>
      </c>
      <c r="G72" s="161" t="s">
        <v>483</v>
      </c>
    </row>
    <row r="73" spans="1:7" ht="36">
      <c r="A73" s="193" t="s">
        <v>598</v>
      </c>
      <c r="B73" s="193" t="s">
        <v>599</v>
      </c>
      <c r="C73" s="193" t="s">
        <v>600</v>
      </c>
      <c r="D73" s="193" t="s">
        <v>41</v>
      </c>
      <c r="E73" s="193"/>
      <c r="F73" s="193"/>
      <c r="G73" s="193"/>
    </row>
    <row r="74" spans="1:7" ht="45">
      <c r="A74" s="190" t="s">
        <v>499</v>
      </c>
      <c r="B74" s="190" t="s">
        <v>601</v>
      </c>
      <c r="C74" s="163" t="s">
        <v>602</v>
      </c>
      <c r="D74" s="190" t="s">
        <v>502</v>
      </c>
      <c r="E74" s="190" t="s">
        <v>603</v>
      </c>
      <c r="F74" s="181">
        <v>10.27</v>
      </c>
      <c r="G74" s="194">
        <f t="shared" ref="G74:G81" si="4">F74*E74</f>
        <v>2.0539999999999999E-2</v>
      </c>
    </row>
    <row r="75" spans="1:7" ht="45">
      <c r="A75" s="190" t="s">
        <v>499</v>
      </c>
      <c r="B75" s="190" t="s">
        <v>604</v>
      </c>
      <c r="C75" s="163" t="s">
        <v>605</v>
      </c>
      <c r="D75" s="190" t="s">
        <v>505</v>
      </c>
      <c r="E75" s="190" t="s">
        <v>606</v>
      </c>
      <c r="F75" s="181">
        <v>5.16</v>
      </c>
      <c r="G75" s="194">
        <f t="shared" si="4"/>
        <v>2.0640000000000002E-2</v>
      </c>
    </row>
    <row r="76" spans="1:7" ht="33.75">
      <c r="A76" s="190" t="s">
        <v>487</v>
      </c>
      <c r="B76" s="190" t="s">
        <v>607</v>
      </c>
      <c r="C76" s="163" t="s">
        <v>608</v>
      </c>
      <c r="D76" s="190" t="s">
        <v>492</v>
      </c>
      <c r="E76" s="190" t="s">
        <v>609</v>
      </c>
      <c r="F76" s="181">
        <f>ROUND(4.88699340425532/(1-0.18),2)</f>
        <v>5.96</v>
      </c>
      <c r="G76" s="194">
        <f t="shared" si="4"/>
        <v>7.1520000000000001</v>
      </c>
    </row>
    <row r="77" spans="1:7" ht="67.5">
      <c r="A77" s="190" t="s">
        <v>499</v>
      </c>
      <c r="B77" s="190" t="s">
        <v>610</v>
      </c>
      <c r="C77" s="163" t="s">
        <v>611</v>
      </c>
      <c r="D77" s="190" t="s">
        <v>502</v>
      </c>
      <c r="E77" s="190" t="s">
        <v>612</v>
      </c>
      <c r="F77" s="181">
        <v>274.13</v>
      </c>
      <c r="G77" s="194">
        <f t="shared" si="4"/>
        <v>0.27412999999999998</v>
      </c>
    </row>
    <row r="78" spans="1:7" ht="24">
      <c r="A78" s="190" t="s">
        <v>499</v>
      </c>
      <c r="B78" s="190" t="s">
        <v>512</v>
      </c>
      <c r="C78" s="163" t="s">
        <v>513</v>
      </c>
      <c r="D78" s="190" t="s">
        <v>27</v>
      </c>
      <c r="E78" s="190" t="s">
        <v>613</v>
      </c>
      <c r="F78" s="181">
        <v>20.079999999999998</v>
      </c>
      <c r="G78" s="194">
        <f t="shared" si="4"/>
        <v>0.11646399999999998</v>
      </c>
    </row>
    <row r="79" spans="1:7" ht="33.75">
      <c r="A79" s="190" t="s">
        <v>499</v>
      </c>
      <c r="B79" s="190" t="s">
        <v>614</v>
      </c>
      <c r="C79" s="163" t="s">
        <v>615</v>
      </c>
      <c r="D79" s="190" t="s">
        <v>502</v>
      </c>
      <c r="E79" s="190" t="s">
        <v>616</v>
      </c>
      <c r="F79" s="181">
        <v>136.76</v>
      </c>
      <c r="G79" s="194">
        <f t="shared" si="4"/>
        <v>0.23249199999999998</v>
      </c>
    </row>
    <row r="80" spans="1:7" ht="33.75">
      <c r="A80" s="190" t="s">
        <v>499</v>
      </c>
      <c r="B80" s="190">
        <v>89036</v>
      </c>
      <c r="C80" s="163" t="s">
        <v>617</v>
      </c>
      <c r="D80" s="190" t="s">
        <v>505</v>
      </c>
      <c r="E80" s="190" t="s">
        <v>618</v>
      </c>
      <c r="F80" s="181">
        <v>53.45</v>
      </c>
      <c r="G80" s="194">
        <f t="shared" si="4"/>
        <v>0.21914500000000003</v>
      </c>
    </row>
    <row r="81" spans="1:7" ht="67.5">
      <c r="A81" s="190" t="s">
        <v>499</v>
      </c>
      <c r="B81" s="190" t="s">
        <v>619</v>
      </c>
      <c r="C81" s="163" t="s">
        <v>620</v>
      </c>
      <c r="D81" s="190" t="s">
        <v>505</v>
      </c>
      <c r="E81" s="190" t="s">
        <v>621</v>
      </c>
      <c r="F81" s="181">
        <v>66.27</v>
      </c>
      <c r="G81" s="194">
        <f t="shared" si="4"/>
        <v>0.32472299999999998</v>
      </c>
    </row>
    <row r="82" spans="1:7" ht="108">
      <c r="A82" s="190" t="s">
        <v>622</v>
      </c>
      <c r="B82" s="190"/>
      <c r="C82" s="190"/>
      <c r="D82" s="190"/>
      <c r="E82" s="190"/>
      <c r="F82" s="190"/>
      <c r="G82" s="194">
        <f>SUM(G74:G81)</f>
        <v>8.3601339999999986</v>
      </c>
    </row>
    <row r="83" spans="1:7">
      <c r="A83" s="354"/>
      <c r="B83" s="354"/>
      <c r="C83" s="354"/>
      <c r="D83" s="354"/>
      <c r="E83" s="354"/>
      <c r="F83" s="354"/>
      <c r="G83" s="354"/>
    </row>
    <row r="84" spans="1:7" ht="19.5" customHeight="1">
      <c r="A84" s="352" t="s">
        <v>623</v>
      </c>
      <c r="B84" s="352"/>
      <c r="C84" s="352"/>
      <c r="D84" s="352"/>
      <c r="E84" s="352"/>
      <c r="F84" s="352"/>
      <c r="G84" s="195"/>
    </row>
    <row r="85" spans="1:7" ht="22.5">
      <c r="A85" s="159" t="s">
        <v>477</v>
      </c>
      <c r="B85" s="159" t="s">
        <v>478</v>
      </c>
      <c r="C85" s="160" t="s">
        <v>479</v>
      </c>
      <c r="D85" s="159" t="s">
        <v>480</v>
      </c>
      <c r="E85" s="161" t="s">
        <v>481</v>
      </c>
      <c r="F85" s="161" t="s">
        <v>482</v>
      </c>
      <c r="G85" s="161" t="s">
        <v>483</v>
      </c>
    </row>
    <row r="86" spans="1:7" ht="45">
      <c r="A86" s="196"/>
      <c r="B86" s="196" t="s">
        <v>624</v>
      </c>
      <c r="C86" s="197" t="s">
        <v>625</v>
      </c>
      <c r="D86" s="198" t="s">
        <v>47</v>
      </c>
      <c r="E86" s="199"/>
      <c r="F86" s="200"/>
      <c r="G86" s="201"/>
    </row>
    <row r="87" spans="1:7">
      <c r="A87" s="190" t="s">
        <v>487</v>
      </c>
      <c r="B87" s="190" t="s">
        <v>626</v>
      </c>
      <c r="C87" s="163" t="s">
        <v>627</v>
      </c>
      <c r="D87" s="190" t="s">
        <v>492</v>
      </c>
      <c r="E87" s="190">
        <v>27</v>
      </c>
      <c r="F87" s="181">
        <v>8.06</v>
      </c>
      <c r="G87" s="194">
        <f t="shared" ref="G87:G100" si="5">E87*F87</f>
        <v>217.62</v>
      </c>
    </row>
    <row r="88" spans="1:7">
      <c r="A88" s="190" t="s">
        <v>487</v>
      </c>
      <c r="B88" s="190">
        <v>43132</v>
      </c>
      <c r="C88" s="163" t="s">
        <v>628</v>
      </c>
      <c r="D88" s="190" t="s">
        <v>492</v>
      </c>
      <c r="E88" s="190">
        <v>1</v>
      </c>
      <c r="F88" s="181">
        <v>20</v>
      </c>
      <c r="G88" s="194">
        <f t="shared" si="5"/>
        <v>20</v>
      </c>
    </row>
    <row r="89" spans="1:7" ht="22.5">
      <c r="A89" s="190" t="s">
        <v>487</v>
      </c>
      <c r="B89" s="190" t="s">
        <v>629</v>
      </c>
      <c r="C89" s="163" t="s">
        <v>488</v>
      </c>
      <c r="D89" s="190" t="s">
        <v>47</v>
      </c>
      <c r="E89" s="190">
        <v>0.7</v>
      </c>
      <c r="F89" s="181">
        <v>91.5</v>
      </c>
      <c r="G89" s="194">
        <f t="shared" si="5"/>
        <v>64.05</v>
      </c>
    </row>
    <row r="90" spans="1:7">
      <c r="A90" s="190" t="s">
        <v>487</v>
      </c>
      <c r="B90" s="190" t="s">
        <v>630</v>
      </c>
      <c r="C90" s="163" t="s">
        <v>631</v>
      </c>
      <c r="D90" s="190" t="s">
        <v>492</v>
      </c>
      <c r="E90" s="190">
        <v>270</v>
      </c>
      <c r="F90" s="181">
        <v>0.85</v>
      </c>
      <c r="G90" s="194">
        <f t="shared" si="5"/>
        <v>229.5</v>
      </c>
    </row>
    <row r="91" spans="1:7" ht="22.5">
      <c r="A91" s="190" t="s">
        <v>487</v>
      </c>
      <c r="B91" s="190" t="s">
        <v>496</v>
      </c>
      <c r="C91" s="163" t="s">
        <v>632</v>
      </c>
      <c r="D91" s="190" t="s">
        <v>47</v>
      </c>
      <c r="E91" s="190">
        <v>1.44</v>
      </c>
      <c r="F91" s="181">
        <v>78.58</v>
      </c>
      <c r="G91" s="194">
        <f t="shared" si="5"/>
        <v>113.15519999999999</v>
      </c>
    </row>
    <row r="92" spans="1:7" ht="22.5">
      <c r="A92" s="190" t="s">
        <v>487</v>
      </c>
      <c r="B92" s="190" t="s">
        <v>633</v>
      </c>
      <c r="C92" s="163" t="s">
        <v>634</v>
      </c>
      <c r="D92" s="190" t="s">
        <v>492</v>
      </c>
      <c r="E92" s="190">
        <v>0.04</v>
      </c>
      <c r="F92" s="181">
        <v>14.45</v>
      </c>
      <c r="G92" s="194">
        <f t="shared" si="5"/>
        <v>0.57799999999999996</v>
      </c>
    </row>
    <row r="93" spans="1:7" ht="22.5">
      <c r="A93" s="190" t="s">
        <v>487</v>
      </c>
      <c r="B93" s="190" t="s">
        <v>635</v>
      </c>
      <c r="C93" s="163" t="s">
        <v>636</v>
      </c>
      <c r="D93" s="190" t="s">
        <v>174</v>
      </c>
      <c r="E93" s="190">
        <v>6</v>
      </c>
      <c r="F93" s="181">
        <v>4.9000000000000004</v>
      </c>
      <c r="G93" s="194">
        <f t="shared" si="5"/>
        <v>29.400000000000002</v>
      </c>
    </row>
    <row r="94" spans="1:7">
      <c r="A94" s="190" t="s">
        <v>487</v>
      </c>
      <c r="B94" s="190" t="s">
        <v>446</v>
      </c>
      <c r="C94" s="163" t="s">
        <v>637</v>
      </c>
      <c r="D94" s="190" t="s">
        <v>47</v>
      </c>
      <c r="E94" s="190">
        <v>0.75</v>
      </c>
      <c r="F94" s="181">
        <v>320</v>
      </c>
      <c r="G94" s="194">
        <f t="shared" si="5"/>
        <v>240</v>
      </c>
    </row>
    <row r="95" spans="1:7" ht="24">
      <c r="A95" s="190" t="s">
        <v>499</v>
      </c>
      <c r="B95" s="190" t="s">
        <v>638</v>
      </c>
      <c r="C95" s="163" t="s">
        <v>639</v>
      </c>
      <c r="D95" s="190" t="s">
        <v>27</v>
      </c>
      <c r="E95" s="190">
        <v>1.92</v>
      </c>
      <c r="F95" s="181">
        <v>21.13</v>
      </c>
      <c r="G95" s="194">
        <f t="shared" si="5"/>
        <v>40.569599999999994</v>
      </c>
    </row>
    <row r="96" spans="1:7" ht="24">
      <c r="A96" s="190" t="s">
        <v>499</v>
      </c>
      <c r="B96" s="190" t="s">
        <v>640</v>
      </c>
      <c r="C96" s="163" t="s">
        <v>570</v>
      </c>
      <c r="D96" s="190" t="s">
        <v>27</v>
      </c>
      <c r="E96" s="190">
        <v>0.05</v>
      </c>
      <c r="F96" s="181">
        <v>21.04</v>
      </c>
      <c r="G96" s="194">
        <f t="shared" si="5"/>
        <v>1.052</v>
      </c>
    </row>
    <row r="97" spans="1:7" ht="24">
      <c r="A97" s="190" t="s">
        <v>499</v>
      </c>
      <c r="B97" s="190" t="s">
        <v>641</v>
      </c>
      <c r="C97" s="163" t="s">
        <v>642</v>
      </c>
      <c r="D97" s="190" t="s">
        <v>27</v>
      </c>
      <c r="E97" s="190">
        <v>1.92</v>
      </c>
      <c r="F97" s="181">
        <v>23.91</v>
      </c>
      <c r="G97" s="194">
        <f t="shared" si="5"/>
        <v>45.907199999999996</v>
      </c>
    </row>
    <row r="98" spans="1:7" ht="24">
      <c r="A98" s="190" t="s">
        <v>499</v>
      </c>
      <c r="B98" s="190" t="s">
        <v>592</v>
      </c>
      <c r="C98" s="163" t="s">
        <v>572</v>
      </c>
      <c r="D98" s="190" t="s">
        <v>27</v>
      </c>
      <c r="E98" s="190">
        <v>0.32</v>
      </c>
      <c r="F98" s="181">
        <v>23.77</v>
      </c>
      <c r="G98" s="194">
        <f t="shared" si="5"/>
        <v>7.6063999999999998</v>
      </c>
    </row>
    <row r="99" spans="1:7" ht="24">
      <c r="A99" s="190" t="s">
        <v>499</v>
      </c>
      <c r="B99" s="190" t="s">
        <v>643</v>
      </c>
      <c r="C99" s="163" t="s">
        <v>644</v>
      </c>
      <c r="D99" s="190" t="s">
        <v>27</v>
      </c>
      <c r="E99" s="190">
        <v>18</v>
      </c>
      <c r="F99" s="181">
        <v>24.11</v>
      </c>
      <c r="G99" s="194">
        <f t="shared" si="5"/>
        <v>433.98</v>
      </c>
    </row>
    <row r="100" spans="1:7" ht="24">
      <c r="A100" s="190" t="s">
        <v>499</v>
      </c>
      <c r="B100" s="190" t="s">
        <v>512</v>
      </c>
      <c r="C100" s="163" t="s">
        <v>513</v>
      </c>
      <c r="D100" s="190" t="s">
        <v>27</v>
      </c>
      <c r="E100" s="190">
        <v>27</v>
      </c>
      <c r="F100" s="181">
        <v>20.079999999999998</v>
      </c>
      <c r="G100" s="194">
        <f t="shared" si="5"/>
        <v>542.16</v>
      </c>
    </row>
    <row r="101" spans="1:7">
      <c r="A101" s="190"/>
      <c r="B101" s="190"/>
      <c r="C101" s="190"/>
      <c r="D101" s="190"/>
      <c r="E101" s="190"/>
      <c r="F101" s="190" t="s">
        <v>645</v>
      </c>
      <c r="G101" s="194">
        <f>ROUND(SUM(G87:G100),2)</f>
        <v>1985.58</v>
      </c>
    </row>
    <row r="102" spans="1:7" ht="15">
      <c r="A102" s="202"/>
      <c r="B102" s="202"/>
      <c r="C102" s="202"/>
      <c r="D102" s="202"/>
      <c r="E102" s="202"/>
      <c r="F102" s="203"/>
      <c r="G102" s="204"/>
    </row>
    <row r="103" spans="1:7" ht="19.5" customHeight="1">
      <c r="A103" s="352" t="s">
        <v>646</v>
      </c>
      <c r="B103" s="352"/>
      <c r="C103" s="352"/>
      <c r="D103" s="352"/>
      <c r="E103" s="352"/>
      <c r="F103" s="352"/>
      <c r="G103" s="204"/>
    </row>
    <row r="104" spans="1:7" ht="22.5">
      <c r="A104" s="159" t="s">
        <v>477</v>
      </c>
      <c r="B104" s="159" t="s">
        <v>478</v>
      </c>
      <c r="C104" s="160" t="s">
        <v>479</v>
      </c>
      <c r="D104" s="159" t="s">
        <v>480</v>
      </c>
      <c r="E104" s="161" t="s">
        <v>481</v>
      </c>
      <c r="F104" s="161" t="s">
        <v>482</v>
      </c>
      <c r="G104" s="161" t="s">
        <v>483</v>
      </c>
    </row>
    <row r="105" spans="1:7" ht="45">
      <c r="A105" s="205"/>
      <c r="B105" s="184" t="s">
        <v>624</v>
      </c>
      <c r="C105" s="184" t="s">
        <v>647</v>
      </c>
      <c r="D105" s="184" t="s">
        <v>47</v>
      </c>
      <c r="E105" s="206"/>
      <c r="F105" s="206"/>
      <c r="G105" s="206"/>
    </row>
    <row r="106" spans="1:7">
      <c r="A106" s="163" t="s">
        <v>487</v>
      </c>
      <c r="B106" s="163" t="s">
        <v>626</v>
      </c>
      <c r="C106" s="163" t="s">
        <v>627</v>
      </c>
      <c r="D106" s="163" t="s">
        <v>492</v>
      </c>
      <c r="E106" s="207">
        <v>32.200000000000003</v>
      </c>
      <c r="F106" s="181">
        <v>8.06</v>
      </c>
      <c r="G106" s="208">
        <f t="shared" ref="G106:G120" si="6">E106*F106</f>
        <v>259.53200000000004</v>
      </c>
    </row>
    <row r="107" spans="1:7">
      <c r="A107" s="163" t="s">
        <v>487</v>
      </c>
      <c r="B107" s="163">
        <v>43132</v>
      </c>
      <c r="C107" s="163" t="s">
        <v>628</v>
      </c>
      <c r="D107" s="163" t="s">
        <v>492</v>
      </c>
      <c r="E107" s="207">
        <v>1</v>
      </c>
      <c r="F107" s="181">
        <v>20</v>
      </c>
      <c r="G107" s="208">
        <f t="shared" si="6"/>
        <v>20</v>
      </c>
    </row>
    <row r="108" spans="1:7" ht="22.5">
      <c r="A108" s="163" t="s">
        <v>487</v>
      </c>
      <c r="B108" s="163" t="s">
        <v>629</v>
      </c>
      <c r="C108" s="163" t="s">
        <v>488</v>
      </c>
      <c r="D108" s="163" t="s">
        <v>47</v>
      </c>
      <c r="E108" s="207">
        <v>0.8</v>
      </c>
      <c r="F108" s="181">
        <v>91.5</v>
      </c>
      <c r="G108" s="208">
        <f t="shared" si="6"/>
        <v>73.2</v>
      </c>
    </row>
    <row r="109" spans="1:7">
      <c r="A109" s="163" t="s">
        <v>487</v>
      </c>
      <c r="B109" s="163" t="s">
        <v>630</v>
      </c>
      <c r="C109" s="163" t="s">
        <v>631</v>
      </c>
      <c r="D109" s="163" t="s">
        <v>492</v>
      </c>
      <c r="E109" s="207">
        <v>320</v>
      </c>
      <c r="F109" s="181">
        <v>0.85</v>
      </c>
      <c r="G109" s="208">
        <f t="shared" si="6"/>
        <v>272</v>
      </c>
    </row>
    <row r="110" spans="1:7" ht="22.5">
      <c r="A110" s="163" t="s">
        <v>487</v>
      </c>
      <c r="B110" s="163" t="s">
        <v>496</v>
      </c>
      <c r="C110" s="163" t="s">
        <v>632</v>
      </c>
      <c r="D110" s="163" t="s">
        <v>47</v>
      </c>
      <c r="E110" s="207">
        <v>1.8</v>
      </c>
      <c r="F110" s="181">
        <v>78.58</v>
      </c>
      <c r="G110" s="208">
        <f t="shared" si="6"/>
        <v>141.44399999999999</v>
      </c>
    </row>
    <row r="111" spans="1:7" ht="22.5">
      <c r="A111" s="163" t="s">
        <v>487</v>
      </c>
      <c r="B111" s="163" t="s">
        <v>633</v>
      </c>
      <c r="C111" s="163" t="s">
        <v>634</v>
      </c>
      <c r="D111" s="163" t="s">
        <v>492</v>
      </c>
      <c r="E111" s="207">
        <v>0.05</v>
      </c>
      <c r="F111" s="181">
        <v>14.45</v>
      </c>
      <c r="G111" s="208">
        <f t="shared" si="6"/>
        <v>0.72250000000000003</v>
      </c>
    </row>
    <row r="112" spans="1:7" ht="22.5">
      <c r="A112" s="163" t="s">
        <v>487</v>
      </c>
      <c r="B112" s="163" t="s">
        <v>635</v>
      </c>
      <c r="C112" s="163" t="s">
        <v>636</v>
      </c>
      <c r="D112" s="163" t="s">
        <v>174</v>
      </c>
      <c r="E112" s="207">
        <v>12.5</v>
      </c>
      <c r="F112" s="181">
        <v>4.9000000000000004</v>
      </c>
      <c r="G112" s="208">
        <f t="shared" si="6"/>
        <v>61.250000000000007</v>
      </c>
    </row>
    <row r="113" spans="1:7">
      <c r="A113" s="163" t="s">
        <v>487</v>
      </c>
      <c r="B113" s="163" t="s">
        <v>446</v>
      </c>
      <c r="C113" s="163" t="s">
        <v>648</v>
      </c>
      <c r="D113" s="163" t="s">
        <v>47</v>
      </c>
      <c r="E113" s="207">
        <v>2.2000000000000002</v>
      </c>
      <c r="F113" s="181">
        <v>310</v>
      </c>
      <c r="G113" s="208">
        <f t="shared" si="6"/>
        <v>682</v>
      </c>
    </row>
    <row r="114" spans="1:7" ht="22.5">
      <c r="A114" s="163" t="s">
        <v>499</v>
      </c>
      <c r="B114" s="163" t="s">
        <v>638</v>
      </c>
      <c r="C114" s="163" t="s">
        <v>639</v>
      </c>
      <c r="D114" s="163" t="s">
        <v>27</v>
      </c>
      <c r="E114" s="207">
        <v>2.2400000000000002</v>
      </c>
      <c r="F114" s="181">
        <v>21.13</v>
      </c>
      <c r="G114" s="208">
        <f t="shared" si="6"/>
        <v>47.331200000000003</v>
      </c>
    </row>
    <row r="115" spans="1:7" ht="22.5">
      <c r="A115" s="163" t="s">
        <v>499</v>
      </c>
      <c r="B115" s="163" t="s">
        <v>640</v>
      </c>
      <c r="C115" s="163" t="s">
        <v>570</v>
      </c>
      <c r="D115" s="163" t="s">
        <v>27</v>
      </c>
      <c r="E115" s="207">
        <v>0.03</v>
      </c>
      <c r="F115" s="181">
        <v>21.04</v>
      </c>
      <c r="G115" s="208">
        <f t="shared" si="6"/>
        <v>0.63119999999999998</v>
      </c>
    </row>
    <row r="116" spans="1:7" ht="22.5">
      <c r="A116" s="163" t="s">
        <v>499</v>
      </c>
      <c r="B116" s="163" t="s">
        <v>641</v>
      </c>
      <c r="C116" s="163" t="s">
        <v>642</v>
      </c>
      <c r="D116" s="163" t="s">
        <v>27</v>
      </c>
      <c r="E116" s="207">
        <v>3</v>
      </c>
      <c r="F116" s="181">
        <v>23.91</v>
      </c>
      <c r="G116" s="208">
        <f t="shared" si="6"/>
        <v>71.73</v>
      </c>
    </row>
    <row r="117" spans="1:7" ht="22.5">
      <c r="A117" s="163" t="s">
        <v>499</v>
      </c>
      <c r="B117" s="163" t="s">
        <v>592</v>
      </c>
      <c r="C117" s="163" t="s">
        <v>572</v>
      </c>
      <c r="D117" s="163" t="s">
        <v>27</v>
      </c>
      <c r="E117" s="207">
        <v>0.35</v>
      </c>
      <c r="F117" s="181">
        <v>23.77</v>
      </c>
      <c r="G117" s="208">
        <f t="shared" si="6"/>
        <v>8.3194999999999997</v>
      </c>
    </row>
    <row r="118" spans="1:7" ht="22.5">
      <c r="A118" s="163" t="s">
        <v>499</v>
      </c>
      <c r="B118" s="163" t="s">
        <v>643</v>
      </c>
      <c r="C118" s="163" t="s">
        <v>644</v>
      </c>
      <c r="D118" s="163" t="s">
        <v>27</v>
      </c>
      <c r="E118" s="207">
        <v>20</v>
      </c>
      <c r="F118" s="181">
        <v>24.11</v>
      </c>
      <c r="G118" s="208">
        <f t="shared" si="6"/>
        <v>482.2</v>
      </c>
    </row>
    <row r="119" spans="1:7" ht="22.5">
      <c r="A119" s="163" t="s">
        <v>499</v>
      </c>
      <c r="B119" s="163" t="s">
        <v>512</v>
      </c>
      <c r="C119" s="163" t="s">
        <v>513</v>
      </c>
      <c r="D119" s="163" t="s">
        <v>27</v>
      </c>
      <c r="E119" s="207">
        <v>35</v>
      </c>
      <c r="F119" s="181">
        <v>20.079999999999998</v>
      </c>
      <c r="G119" s="208">
        <f t="shared" si="6"/>
        <v>702.8</v>
      </c>
    </row>
    <row r="120" spans="1:7" ht="22.5">
      <c r="A120" s="163" t="s">
        <v>499</v>
      </c>
      <c r="B120" s="163">
        <v>5678</v>
      </c>
      <c r="C120" s="163" t="s">
        <v>649</v>
      </c>
      <c r="D120" s="163" t="s">
        <v>650</v>
      </c>
      <c r="E120" s="207">
        <v>3.5</v>
      </c>
      <c r="F120" s="181">
        <v>148.55000000000001</v>
      </c>
      <c r="G120" s="208">
        <f t="shared" si="6"/>
        <v>519.92500000000007</v>
      </c>
    </row>
    <row r="121" spans="1:7" ht="15">
      <c r="A121" s="202"/>
      <c r="B121" s="207"/>
      <c r="C121" s="207"/>
      <c r="D121" s="207"/>
      <c r="E121" s="207"/>
      <c r="F121" s="207"/>
      <c r="G121" s="207"/>
    </row>
    <row r="122" spans="1:7" ht="15">
      <c r="A122" s="202"/>
      <c r="B122" s="207"/>
      <c r="C122" s="207"/>
      <c r="D122" s="207"/>
      <c r="E122" s="207"/>
      <c r="F122" s="207" t="s">
        <v>645</v>
      </c>
      <c r="G122" s="208">
        <f>ROUND(SUM(G106:G121),2)</f>
        <v>3343.09</v>
      </c>
    </row>
    <row r="123" spans="1:7" ht="15">
      <c r="A123" s="202"/>
      <c r="B123" s="202"/>
      <c r="C123" s="202"/>
      <c r="D123" s="202"/>
      <c r="E123" s="202"/>
      <c r="F123" s="203"/>
      <c r="G123" s="204"/>
    </row>
    <row r="124" spans="1:7" ht="15">
      <c r="A124" s="183"/>
      <c r="B124" s="183"/>
      <c r="C124" s="183"/>
      <c r="D124" s="183"/>
      <c r="E124" s="183"/>
      <c r="F124" s="183"/>
      <c r="G124" s="183"/>
    </row>
    <row r="125" spans="1:7" ht="19.5" customHeight="1">
      <c r="A125" s="352" t="s">
        <v>651</v>
      </c>
      <c r="B125" s="352"/>
      <c r="C125" s="352"/>
      <c r="D125" s="352"/>
      <c r="E125" s="352"/>
      <c r="F125" s="352"/>
      <c r="G125" s="204"/>
    </row>
    <row r="126" spans="1:7" ht="22.5">
      <c r="A126" s="159" t="s">
        <v>477</v>
      </c>
      <c r="B126" s="159" t="s">
        <v>478</v>
      </c>
      <c r="C126" s="160" t="s">
        <v>479</v>
      </c>
      <c r="D126" s="159" t="s">
        <v>480</v>
      </c>
      <c r="E126" s="161" t="s">
        <v>481</v>
      </c>
      <c r="F126" s="161" t="s">
        <v>482</v>
      </c>
      <c r="G126" s="161" t="s">
        <v>483</v>
      </c>
    </row>
    <row r="127" spans="1:7" ht="45">
      <c r="A127" s="196"/>
      <c r="B127" s="196" t="s">
        <v>624</v>
      </c>
      <c r="C127" s="197" t="s">
        <v>647</v>
      </c>
      <c r="D127" s="198" t="s">
        <v>47</v>
      </c>
      <c r="E127" s="199"/>
      <c r="F127" s="200"/>
      <c r="G127" s="201"/>
    </row>
    <row r="128" spans="1:7" ht="15">
      <c r="A128" s="163" t="s">
        <v>487</v>
      </c>
      <c r="B128" s="163" t="s">
        <v>626</v>
      </c>
      <c r="C128" s="163" t="s">
        <v>627</v>
      </c>
      <c r="D128" s="163" t="s">
        <v>492</v>
      </c>
      <c r="E128" s="163">
        <v>120</v>
      </c>
      <c r="F128" s="181">
        <v>8.06</v>
      </c>
      <c r="G128" s="209">
        <f t="shared" ref="G128:G142" si="7">E128*F128</f>
        <v>967.2</v>
      </c>
    </row>
    <row r="129" spans="1:7" ht="15">
      <c r="A129" s="163" t="s">
        <v>487</v>
      </c>
      <c r="B129" s="163">
        <v>43132</v>
      </c>
      <c r="C129" s="163" t="s">
        <v>628</v>
      </c>
      <c r="D129" s="163" t="s">
        <v>492</v>
      </c>
      <c r="E129" s="163">
        <v>3</v>
      </c>
      <c r="F129" s="181">
        <v>20</v>
      </c>
      <c r="G129" s="209">
        <f t="shared" si="7"/>
        <v>60</v>
      </c>
    </row>
    <row r="130" spans="1:7" ht="22.5">
      <c r="A130" s="163" t="s">
        <v>487</v>
      </c>
      <c r="B130" s="163" t="s">
        <v>629</v>
      </c>
      <c r="C130" s="163" t="s">
        <v>488</v>
      </c>
      <c r="D130" s="163" t="s">
        <v>47</v>
      </c>
      <c r="E130" s="163">
        <v>1.5</v>
      </c>
      <c r="F130" s="181">
        <v>91.5</v>
      </c>
      <c r="G130" s="209">
        <f t="shared" si="7"/>
        <v>137.25</v>
      </c>
    </row>
    <row r="131" spans="1:7" ht="15">
      <c r="A131" s="163" t="s">
        <v>487</v>
      </c>
      <c r="B131" s="163" t="s">
        <v>630</v>
      </c>
      <c r="C131" s="163" t="s">
        <v>631</v>
      </c>
      <c r="D131" s="163" t="s">
        <v>492</v>
      </c>
      <c r="E131" s="163">
        <v>450</v>
      </c>
      <c r="F131" s="181">
        <v>0.85</v>
      </c>
      <c r="G131" s="209">
        <f t="shared" si="7"/>
        <v>382.5</v>
      </c>
    </row>
    <row r="132" spans="1:7" ht="22.5">
      <c r="A132" s="163" t="s">
        <v>487</v>
      </c>
      <c r="B132" s="163" t="s">
        <v>496</v>
      </c>
      <c r="C132" s="163" t="s">
        <v>632</v>
      </c>
      <c r="D132" s="163" t="s">
        <v>47</v>
      </c>
      <c r="E132" s="163">
        <v>1.8</v>
      </c>
      <c r="F132" s="181">
        <v>78.58</v>
      </c>
      <c r="G132" s="209">
        <f t="shared" si="7"/>
        <v>141.44399999999999</v>
      </c>
    </row>
    <row r="133" spans="1:7" ht="22.5">
      <c r="A133" s="163" t="s">
        <v>487</v>
      </c>
      <c r="B133" s="163" t="s">
        <v>633</v>
      </c>
      <c r="C133" s="163" t="s">
        <v>634</v>
      </c>
      <c r="D133" s="163" t="s">
        <v>492</v>
      </c>
      <c r="E133" s="163">
        <v>0.05</v>
      </c>
      <c r="F133" s="181">
        <v>14.45</v>
      </c>
      <c r="G133" s="209">
        <f t="shared" si="7"/>
        <v>0.72250000000000003</v>
      </c>
    </row>
    <row r="134" spans="1:7" ht="22.5">
      <c r="A134" s="163" t="s">
        <v>487</v>
      </c>
      <c r="B134" s="163" t="s">
        <v>635</v>
      </c>
      <c r="C134" s="163" t="s">
        <v>636</v>
      </c>
      <c r="D134" s="163" t="s">
        <v>174</v>
      </c>
      <c r="E134" s="163">
        <v>12.5</v>
      </c>
      <c r="F134" s="181">
        <v>4.9000000000000004</v>
      </c>
      <c r="G134" s="209">
        <f t="shared" si="7"/>
        <v>61.250000000000007</v>
      </c>
    </row>
    <row r="135" spans="1:7" ht="15">
      <c r="A135" s="163" t="s">
        <v>487</v>
      </c>
      <c r="B135" s="163" t="s">
        <v>446</v>
      </c>
      <c r="C135" s="163" t="s">
        <v>648</v>
      </c>
      <c r="D135" s="163" t="s">
        <v>47</v>
      </c>
      <c r="E135" s="163">
        <v>4.5</v>
      </c>
      <c r="F135" s="181">
        <v>310</v>
      </c>
      <c r="G135" s="209">
        <f t="shared" si="7"/>
        <v>1395</v>
      </c>
    </row>
    <row r="136" spans="1:7" ht="22.5">
      <c r="A136" s="163" t="s">
        <v>499</v>
      </c>
      <c r="B136" s="163" t="s">
        <v>638</v>
      </c>
      <c r="C136" s="163" t="s">
        <v>639</v>
      </c>
      <c r="D136" s="163" t="s">
        <v>27</v>
      </c>
      <c r="E136" s="163">
        <v>3.5</v>
      </c>
      <c r="F136" s="181">
        <v>21.13</v>
      </c>
      <c r="G136" s="210">
        <f t="shared" si="7"/>
        <v>73.954999999999998</v>
      </c>
    </row>
    <row r="137" spans="1:7" ht="22.5">
      <c r="A137" s="163" t="s">
        <v>499</v>
      </c>
      <c r="B137" s="163" t="s">
        <v>640</v>
      </c>
      <c r="C137" s="163" t="s">
        <v>570</v>
      </c>
      <c r="D137" s="163" t="s">
        <v>27</v>
      </c>
      <c r="E137" s="163">
        <v>0.05</v>
      </c>
      <c r="F137" s="181">
        <v>21.04</v>
      </c>
      <c r="G137" s="210">
        <f t="shared" si="7"/>
        <v>1.052</v>
      </c>
    </row>
    <row r="138" spans="1:7" ht="22.5">
      <c r="A138" s="163" t="s">
        <v>499</v>
      </c>
      <c r="B138" s="163" t="s">
        <v>641</v>
      </c>
      <c r="C138" s="163" t="s">
        <v>642</v>
      </c>
      <c r="D138" s="163" t="s">
        <v>27</v>
      </c>
      <c r="E138" s="163">
        <v>5</v>
      </c>
      <c r="F138" s="181">
        <v>23.91</v>
      </c>
      <c r="G138" s="210">
        <f t="shared" si="7"/>
        <v>119.55</v>
      </c>
    </row>
    <row r="139" spans="1:7" ht="22.5">
      <c r="A139" s="163" t="s">
        <v>499</v>
      </c>
      <c r="B139" s="163" t="s">
        <v>592</v>
      </c>
      <c r="C139" s="163" t="s">
        <v>572</v>
      </c>
      <c r="D139" s="163" t="s">
        <v>27</v>
      </c>
      <c r="E139" s="163">
        <v>1</v>
      </c>
      <c r="F139" s="181">
        <v>23.77</v>
      </c>
      <c r="G139" s="210">
        <f t="shared" si="7"/>
        <v>23.77</v>
      </c>
    </row>
    <row r="140" spans="1:7" ht="22.5">
      <c r="A140" s="163" t="s">
        <v>499</v>
      </c>
      <c r="B140" s="163" t="s">
        <v>643</v>
      </c>
      <c r="C140" s="163" t="s">
        <v>644</v>
      </c>
      <c r="D140" s="163" t="s">
        <v>27</v>
      </c>
      <c r="E140" s="163">
        <v>35</v>
      </c>
      <c r="F140" s="181">
        <v>24.11</v>
      </c>
      <c r="G140" s="210">
        <f t="shared" si="7"/>
        <v>843.85</v>
      </c>
    </row>
    <row r="141" spans="1:7" ht="22.5">
      <c r="A141" s="163" t="s">
        <v>499</v>
      </c>
      <c r="B141" s="163" t="s">
        <v>512</v>
      </c>
      <c r="C141" s="163" t="s">
        <v>513</v>
      </c>
      <c r="D141" s="163" t="s">
        <v>27</v>
      </c>
      <c r="E141" s="163">
        <v>50</v>
      </c>
      <c r="F141" s="181">
        <v>20.079999999999998</v>
      </c>
      <c r="G141" s="210">
        <f t="shared" si="7"/>
        <v>1003.9999999999999</v>
      </c>
    </row>
    <row r="142" spans="1:7" ht="22.5">
      <c r="A142" s="163" t="s">
        <v>499</v>
      </c>
      <c r="B142" s="163">
        <v>5678</v>
      </c>
      <c r="C142" s="163" t="s">
        <v>649</v>
      </c>
      <c r="D142" s="163" t="s">
        <v>650</v>
      </c>
      <c r="E142" s="163">
        <v>5.5</v>
      </c>
      <c r="F142" s="181">
        <v>148.55000000000001</v>
      </c>
      <c r="G142" s="208">
        <f t="shared" si="7"/>
        <v>817.02500000000009</v>
      </c>
    </row>
    <row r="143" spans="1:7" ht="15">
      <c r="A143" s="202"/>
      <c r="B143" s="171"/>
      <c r="C143" s="207"/>
      <c r="D143" s="211"/>
      <c r="E143" s="212"/>
      <c r="F143" s="212"/>
      <c r="G143" s="212"/>
    </row>
    <row r="144" spans="1:7" ht="15">
      <c r="A144" s="202"/>
      <c r="B144" s="202"/>
      <c r="C144" s="213"/>
      <c r="D144" s="211"/>
      <c r="E144" s="211"/>
      <c r="F144" s="203" t="s">
        <v>645</v>
      </c>
      <c r="G144" s="214">
        <f>ROUND(SUM(G128:G143),2)</f>
        <v>6028.57</v>
      </c>
    </row>
    <row r="145" spans="1:7" ht="15">
      <c r="A145" s="183"/>
      <c r="B145" s="183"/>
      <c r="C145" s="183"/>
      <c r="D145" s="183"/>
      <c r="E145" s="183"/>
      <c r="F145" s="183"/>
      <c r="G145" s="183"/>
    </row>
    <row r="146" spans="1:7" ht="19.5" customHeight="1">
      <c r="A146" s="352" t="s">
        <v>652</v>
      </c>
      <c r="B146" s="352"/>
      <c r="C146" s="352"/>
      <c r="D146" s="352"/>
      <c r="E146" s="352"/>
      <c r="F146" s="352"/>
      <c r="G146" s="352"/>
    </row>
    <row r="147" spans="1:7" ht="22.5">
      <c r="A147" s="159" t="s">
        <v>477</v>
      </c>
      <c r="B147" s="159" t="s">
        <v>478</v>
      </c>
      <c r="C147" s="160" t="s">
        <v>479</v>
      </c>
      <c r="D147" s="159" t="s">
        <v>480</v>
      </c>
      <c r="E147" s="161" t="s">
        <v>481</v>
      </c>
      <c r="F147" s="161" t="s">
        <v>482</v>
      </c>
      <c r="G147" s="161" t="s">
        <v>483</v>
      </c>
    </row>
    <row r="148" spans="1:7" ht="22.5">
      <c r="A148" s="163" t="s">
        <v>653</v>
      </c>
      <c r="B148" s="163" t="s">
        <v>654</v>
      </c>
      <c r="C148" s="163" t="s">
        <v>655</v>
      </c>
      <c r="D148" s="163" t="s">
        <v>41</v>
      </c>
      <c r="E148" s="207"/>
      <c r="F148" s="207"/>
      <c r="G148" s="207"/>
    </row>
    <row r="149" spans="1:7" ht="45">
      <c r="A149" s="163" t="s">
        <v>499</v>
      </c>
      <c r="B149" s="163" t="s">
        <v>601</v>
      </c>
      <c r="C149" s="163" t="s">
        <v>602</v>
      </c>
      <c r="D149" s="163" t="s">
        <v>502</v>
      </c>
      <c r="E149" s="163" t="s">
        <v>603</v>
      </c>
      <c r="F149" s="181">
        <v>10.27</v>
      </c>
      <c r="G149" s="194">
        <f t="shared" ref="G149:G156" si="8">F149*E149</f>
        <v>2.0539999999999999E-2</v>
      </c>
    </row>
    <row r="150" spans="1:7" ht="45">
      <c r="A150" s="163" t="s">
        <v>499</v>
      </c>
      <c r="B150" s="163" t="s">
        <v>604</v>
      </c>
      <c r="C150" s="163" t="s">
        <v>605</v>
      </c>
      <c r="D150" s="163" t="s">
        <v>505</v>
      </c>
      <c r="E150" s="163" t="s">
        <v>606</v>
      </c>
      <c r="F150" s="181">
        <v>5.16</v>
      </c>
      <c r="G150" s="194">
        <f t="shared" si="8"/>
        <v>2.0640000000000002E-2</v>
      </c>
    </row>
    <row r="151" spans="1:7" ht="33.75">
      <c r="A151" s="163" t="s">
        <v>487</v>
      </c>
      <c r="B151" s="165" t="s">
        <v>607</v>
      </c>
      <c r="C151" s="163" t="s">
        <v>656</v>
      </c>
      <c r="D151" s="163" t="s">
        <v>492</v>
      </c>
      <c r="E151" s="163" t="s">
        <v>657</v>
      </c>
      <c r="F151" s="181">
        <f>ROUND(2.83234976888965/(1-0.18),2)</f>
        <v>3.45</v>
      </c>
      <c r="G151" s="194">
        <f t="shared" si="8"/>
        <v>1.5525000000000002</v>
      </c>
    </row>
    <row r="152" spans="1:7" ht="67.5">
      <c r="A152" s="163" t="s">
        <v>499</v>
      </c>
      <c r="B152" s="163" t="s">
        <v>610</v>
      </c>
      <c r="C152" s="163" t="s">
        <v>611</v>
      </c>
      <c r="D152" s="163" t="s">
        <v>502</v>
      </c>
      <c r="E152" s="163" t="s">
        <v>658</v>
      </c>
      <c r="F152" s="181">
        <v>274.13</v>
      </c>
      <c r="G152" s="194">
        <f t="shared" si="8"/>
        <v>0.109652</v>
      </c>
    </row>
    <row r="153" spans="1:7" ht="22.5">
      <c r="A153" s="163" t="s">
        <v>499</v>
      </c>
      <c r="B153" s="163" t="s">
        <v>512</v>
      </c>
      <c r="C153" s="163" t="s">
        <v>513</v>
      </c>
      <c r="D153" s="163" t="s">
        <v>27</v>
      </c>
      <c r="E153" s="163" t="s">
        <v>659</v>
      </c>
      <c r="F153" s="181">
        <v>20.079999999999998</v>
      </c>
      <c r="G153" s="194">
        <f t="shared" si="8"/>
        <v>0.11043999999999998</v>
      </c>
    </row>
    <row r="154" spans="1:7" ht="33.75">
      <c r="A154" s="163" t="s">
        <v>499</v>
      </c>
      <c r="B154" s="163" t="s">
        <v>614</v>
      </c>
      <c r="C154" s="163" t="s">
        <v>615</v>
      </c>
      <c r="D154" s="163" t="s">
        <v>502</v>
      </c>
      <c r="E154" s="163" t="s">
        <v>616</v>
      </c>
      <c r="F154" s="181">
        <v>136.76</v>
      </c>
      <c r="G154" s="194">
        <f t="shared" si="8"/>
        <v>0.23249199999999998</v>
      </c>
    </row>
    <row r="155" spans="1:7" ht="33.75">
      <c r="A155" s="163" t="s">
        <v>499</v>
      </c>
      <c r="B155" s="163" t="s">
        <v>660</v>
      </c>
      <c r="C155" s="163" t="s">
        <v>617</v>
      </c>
      <c r="D155" s="163" t="s">
        <v>505</v>
      </c>
      <c r="E155" s="163" t="s">
        <v>661</v>
      </c>
      <c r="F155" s="181">
        <v>53.45</v>
      </c>
      <c r="G155" s="194">
        <f t="shared" si="8"/>
        <v>0.20311000000000001</v>
      </c>
    </row>
    <row r="156" spans="1:7" ht="67.5">
      <c r="A156" s="163" t="s">
        <v>499</v>
      </c>
      <c r="B156" s="163" t="s">
        <v>619</v>
      </c>
      <c r="C156" s="163" t="s">
        <v>620</v>
      </c>
      <c r="D156" s="163" t="s">
        <v>505</v>
      </c>
      <c r="E156" s="163" t="s">
        <v>520</v>
      </c>
      <c r="F156" s="181">
        <v>66.27</v>
      </c>
      <c r="G156" s="194">
        <f t="shared" si="8"/>
        <v>0.33797700000000003</v>
      </c>
    </row>
    <row r="157" spans="1:7" ht="67.5">
      <c r="A157" s="163"/>
      <c r="B157" s="163" t="s">
        <v>662</v>
      </c>
      <c r="C157" s="215"/>
      <c r="D157" s="215"/>
      <c r="E157" s="215"/>
      <c r="F157" s="203" t="s">
        <v>645</v>
      </c>
      <c r="G157" s="194">
        <f>SUM(G149:G156)</f>
        <v>2.5873510000000004</v>
      </c>
    </row>
    <row r="158" spans="1:7" ht="15">
      <c r="A158" s="183"/>
      <c r="B158" s="183"/>
      <c r="C158" s="183"/>
      <c r="D158" s="183"/>
      <c r="E158" s="183"/>
      <c r="F158" s="183"/>
      <c r="G158" s="183"/>
    </row>
    <row r="159" spans="1:7" ht="19.5" customHeight="1">
      <c r="A159" s="352" t="s">
        <v>663</v>
      </c>
      <c r="B159" s="352"/>
      <c r="C159" s="352"/>
      <c r="D159" s="352"/>
      <c r="E159" s="352"/>
      <c r="F159" s="352"/>
      <c r="G159" s="352"/>
    </row>
    <row r="160" spans="1:7" ht="45">
      <c r="A160" s="171" t="s">
        <v>664</v>
      </c>
      <c r="B160" s="171" t="s">
        <v>665</v>
      </c>
      <c r="C160" s="207" t="s">
        <v>666</v>
      </c>
      <c r="D160" s="171" t="s">
        <v>47</v>
      </c>
      <c r="E160" s="163"/>
      <c r="F160" s="163" t="s">
        <v>667</v>
      </c>
      <c r="G160" s="163" t="s">
        <v>483</v>
      </c>
    </row>
    <row r="161" spans="1:7" ht="45">
      <c r="A161" s="163" t="s">
        <v>499</v>
      </c>
      <c r="B161" s="163" t="s">
        <v>532</v>
      </c>
      <c r="C161" s="163" t="s">
        <v>533</v>
      </c>
      <c r="D161" s="163" t="s">
        <v>502</v>
      </c>
      <c r="E161" s="163" t="s">
        <v>668</v>
      </c>
      <c r="F161" s="181">
        <v>371.9</v>
      </c>
      <c r="G161" s="181">
        <f t="shared" ref="G161:G171" si="9">F161*E161</f>
        <v>12.309889999999998</v>
      </c>
    </row>
    <row r="162" spans="1:7" ht="45">
      <c r="A162" s="163" t="s">
        <v>499</v>
      </c>
      <c r="B162" s="163" t="s">
        <v>535</v>
      </c>
      <c r="C162" s="163" t="s">
        <v>536</v>
      </c>
      <c r="D162" s="163" t="s">
        <v>505</v>
      </c>
      <c r="E162" s="163" t="s">
        <v>669</v>
      </c>
      <c r="F162" s="181">
        <v>148.66</v>
      </c>
      <c r="G162" s="181">
        <f t="shared" si="9"/>
        <v>10.079148</v>
      </c>
    </row>
    <row r="163" spans="1:7" ht="22.5">
      <c r="A163" s="163" t="s">
        <v>499</v>
      </c>
      <c r="B163" s="163" t="s">
        <v>670</v>
      </c>
      <c r="C163" s="163" t="s">
        <v>671</v>
      </c>
      <c r="D163" s="163" t="s">
        <v>486</v>
      </c>
      <c r="E163" s="163" t="s">
        <v>672</v>
      </c>
      <c r="F163" s="181">
        <f>G192</f>
        <v>399.06363699999997</v>
      </c>
      <c r="G163" s="181">
        <f t="shared" si="9"/>
        <v>1019.5277798076</v>
      </c>
    </row>
    <row r="164" spans="1:7" ht="22.5">
      <c r="A164" s="163" t="s">
        <v>499</v>
      </c>
      <c r="B164" s="163" t="s">
        <v>673</v>
      </c>
      <c r="C164" s="163" t="s">
        <v>538</v>
      </c>
      <c r="D164" s="163" t="s">
        <v>27</v>
      </c>
      <c r="E164" s="163" t="s">
        <v>674</v>
      </c>
      <c r="F164" s="181">
        <v>19.96</v>
      </c>
      <c r="G164" s="181">
        <f t="shared" si="9"/>
        <v>16.111712000000001</v>
      </c>
    </row>
    <row r="165" spans="1:7" ht="67.5">
      <c r="A165" s="163" t="s">
        <v>499</v>
      </c>
      <c r="B165" s="163" t="s">
        <v>675</v>
      </c>
      <c r="C165" s="163" t="s">
        <v>540</v>
      </c>
      <c r="D165" s="163" t="s">
        <v>502</v>
      </c>
      <c r="E165" s="163" t="s">
        <v>668</v>
      </c>
      <c r="F165" s="181">
        <v>271.45999999999998</v>
      </c>
      <c r="G165" s="181">
        <f t="shared" si="9"/>
        <v>8.9853259999999988</v>
      </c>
    </row>
    <row r="166" spans="1:7" ht="45">
      <c r="A166" s="163" t="s">
        <v>499</v>
      </c>
      <c r="B166" s="163" t="s">
        <v>541</v>
      </c>
      <c r="C166" s="163" t="s">
        <v>542</v>
      </c>
      <c r="D166" s="163" t="s">
        <v>502</v>
      </c>
      <c r="E166" s="163" t="s">
        <v>676</v>
      </c>
      <c r="F166" s="181">
        <v>239.79</v>
      </c>
      <c r="G166" s="181">
        <f t="shared" si="9"/>
        <v>13.787925</v>
      </c>
    </row>
    <row r="167" spans="1:7" ht="45">
      <c r="A167" s="163" t="s">
        <v>499</v>
      </c>
      <c r="B167" s="163" t="s">
        <v>544</v>
      </c>
      <c r="C167" s="163" t="s">
        <v>545</v>
      </c>
      <c r="D167" s="163" t="s">
        <v>505</v>
      </c>
      <c r="E167" s="163" t="s">
        <v>677</v>
      </c>
      <c r="F167" s="181">
        <v>90.71</v>
      </c>
      <c r="G167" s="181">
        <f t="shared" si="9"/>
        <v>3.936814</v>
      </c>
    </row>
    <row r="168" spans="1:7" ht="33.75">
      <c r="A168" s="163" t="s">
        <v>499</v>
      </c>
      <c r="B168" s="163" t="s">
        <v>547</v>
      </c>
      <c r="C168" s="163" t="s">
        <v>548</v>
      </c>
      <c r="D168" s="163" t="s">
        <v>505</v>
      </c>
      <c r="E168" s="163" t="s">
        <v>678</v>
      </c>
      <c r="F168" s="181">
        <v>58.38</v>
      </c>
      <c r="G168" s="181">
        <f t="shared" si="9"/>
        <v>3.8997839999999999</v>
      </c>
    </row>
    <row r="169" spans="1:7" ht="33.75">
      <c r="A169" s="163" t="s">
        <v>499</v>
      </c>
      <c r="B169" s="163" t="s">
        <v>550</v>
      </c>
      <c r="C169" s="163" t="s">
        <v>551</v>
      </c>
      <c r="D169" s="163" t="s">
        <v>502</v>
      </c>
      <c r="E169" s="163" t="s">
        <v>552</v>
      </c>
      <c r="F169" s="181">
        <v>145.94</v>
      </c>
      <c r="G169" s="181">
        <f t="shared" si="9"/>
        <v>4.9765539999999993</v>
      </c>
    </row>
    <row r="170" spans="1:7" ht="45">
      <c r="A170" s="163" t="s">
        <v>499</v>
      </c>
      <c r="B170" s="163" t="s">
        <v>553</v>
      </c>
      <c r="C170" s="163" t="s">
        <v>554</v>
      </c>
      <c r="D170" s="163" t="s">
        <v>502</v>
      </c>
      <c r="E170" s="163" t="s">
        <v>679</v>
      </c>
      <c r="F170" s="181">
        <v>227.58</v>
      </c>
      <c r="G170" s="181">
        <f t="shared" si="9"/>
        <v>6.8046420000000003</v>
      </c>
    </row>
    <row r="171" spans="1:7" ht="45">
      <c r="A171" s="163" t="s">
        <v>499</v>
      </c>
      <c r="B171" s="163" t="s">
        <v>556</v>
      </c>
      <c r="C171" s="163" t="s">
        <v>557</v>
      </c>
      <c r="D171" s="163" t="s">
        <v>505</v>
      </c>
      <c r="E171" s="163" t="s">
        <v>680</v>
      </c>
      <c r="F171" s="181">
        <v>97.34</v>
      </c>
      <c r="G171" s="181">
        <f t="shared" si="9"/>
        <v>6.9111399999999996</v>
      </c>
    </row>
    <row r="172" spans="1:7">
      <c r="A172" s="163"/>
      <c r="B172" s="163"/>
      <c r="C172" s="163"/>
      <c r="D172" s="163"/>
      <c r="E172" s="163"/>
      <c r="F172" s="163"/>
      <c r="G172" s="163"/>
    </row>
    <row r="173" spans="1:7" ht="15">
      <c r="A173" s="183"/>
      <c r="B173" s="183"/>
      <c r="C173" s="183"/>
      <c r="D173" s="183"/>
      <c r="E173" s="163"/>
      <c r="F173" s="203" t="s">
        <v>645</v>
      </c>
      <c r="G173" s="181">
        <f>SUM(G161:G172)</f>
        <v>1107.3307148075999</v>
      </c>
    </row>
    <row r="174" spans="1:7" ht="15">
      <c r="A174" s="183"/>
      <c r="B174" s="183"/>
      <c r="C174" s="183"/>
      <c r="D174" s="183"/>
      <c r="E174" s="183"/>
      <c r="F174" s="183"/>
      <c r="G174" s="216"/>
    </row>
    <row r="175" spans="1:7" ht="19.5" customHeight="1">
      <c r="A175" s="352" t="s">
        <v>681</v>
      </c>
      <c r="B175" s="352"/>
      <c r="C175" s="352"/>
      <c r="D175" s="352"/>
      <c r="E175" s="352"/>
      <c r="F175" s="352"/>
      <c r="G175" s="352"/>
    </row>
    <row r="176" spans="1:7" ht="45">
      <c r="A176" s="217" t="s">
        <v>682</v>
      </c>
      <c r="B176" s="217" t="s">
        <v>683</v>
      </c>
      <c r="C176" s="218" t="s">
        <v>684</v>
      </c>
      <c r="D176" s="217" t="s">
        <v>486</v>
      </c>
      <c r="E176" s="219"/>
      <c r="F176" s="220" t="s">
        <v>667</v>
      </c>
      <c r="G176" s="220" t="s">
        <v>483</v>
      </c>
    </row>
    <row r="177" spans="1:7" ht="22.5">
      <c r="A177" s="163" t="s">
        <v>487</v>
      </c>
      <c r="B177" s="163" t="s">
        <v>629</v>
      </c>
      <c r="C177" s="163" t="s">
        <v>488</v>
      </c>
      <c r="D177" s="163" t="s">
        <v>47</v>
      </c>
      <c r="E177" s="221" t="s">
        <v>685</v>
      </c>
      <c r="F177" s="181">
        <v>91.5</v>
      </c>
      <c r="G177" s="181">
        <f t="shared" ref="G177:G190" si="10">F177*E177</f>
        <v>22.152150000000002</v>
      </c>
    </row>
    <row r="178" spans="1:7">
      <c r="A178" s="163" t="s">
        <v>487</v>
      </c>
      <c r="B178" s="163" t="s">
        <v>490</v>
      </c>
      <c r="C178" s="163" t="s">
        <v>491</v>
      </c>
      <c r="D178" s="163" t="s">
        <v>492</v>
      </c>
      <c r="E178" s="221" t="s">
        <v>686</v>
      </c>
      <c r="F178" s="181">
        <v>0.91</v>
      </c>
      <c r="G178" s="181">
        <f t="shared" si="10"/>
        <v>47.210800000000006</v>
      </c>
    </row>
    <row r="179" spans="1:7" ht="22.5">
      <c r="A179" s="163" t="s">
        <v>487</v>
      </c>
      <c r="B179" s="163" t="s">
        <v>687</v>
      </c>
      <c r="C179" s="163" t="s">
        <v>494</v>
      </c>
      <c r="D179" s="163" t="s">
        <v>47</v>
      </c>
      <c r="E179" s="221" t="s">
        <v>688</v>
      </c>
      <c r="F179" s="181">
        <v>90.73</v>
      </c>
      <c r="G179" s="181">
        <f t="shared" si="10"/>
        <v>15.78702</v>
      </c>
    </row>
    <row r="180" spans="1:7" ht="22.5">
      <c r="A180" s="163" t="s">
        <v>487</v>
      </c>
      <c r="B180" s="163" t="s">
        <v>496</v>
      </c>
      <c r="C180" s="163" t="s">
        <v>497</v>
      </c>
      <c r="D180" s="163" t="s">
        <v>47</v>
      </c>
      <c r="E180" s="221" t="s">
        <v>689</v>
      </c>
      <c r="F180" s="181">
        <v>78.58</v>
      </c>
      <c r="G180" s="181">
        <f t="shared" si="10"/>
        <v>14.002955999999999</v>
      </c>
    </row>
    <row r="181" spans="1:7" ht="45">
      <c r="A181" s="163" t="s">
        <v>529</v>
      </c>
      <c r="B181" s="163" t="s">
        <v>500</v>
      </c>
      <c r="C181" s="163" t="s">
        <v>501</v>
      </c>
      <c r="D181" s="163" t="s">
        <v>502</v>
      </c>
      <c r="E181" s="221" t="s">
        <v>621</v>
      </c>
      <c r="F181" s="181">
        <v>192.21</v>
      </c>
      <c r="G181" s="181">
        <f t="shared" si="10"/>
        <v>0.94182900000000003</v>
      </c>
    </row>
    <row r="182" spans="1:7" ht="45">
      <c r="A182" s="163" t="s">
        <v>529</v>
      </c>
      <c r="B182" s="163" t="s">
        <v>690</v>
      </c>
      <c r="C182" s="163" t="s">
        <v>504</v>
      </c>
      <c r="D182" s="163" t="s">
        <v>505</v>
      </c>
      <c r="E182" s="221" t="s">
        <v>506</v>
      </c>
      <c r="F182" s="181">
        <v>81.599999999999994</v>
      </c>
      <c r="G182" s="181">
        <f t="shared" si="10"/>
        <v>1.4606399999999999</v>
      </c>
    </row>
    <row r="183" spans="1:7" ht="33.75">
      <c r="A183" s="163" t="s">
        <v>529</v>
      </c>
      <c r="B183" s="163" t="s">
        <v>691</v>
      </c>
      <c r="C183" s="163" t="s">
        <v>507</v>
      </c>
      <c r="D183" s="163" t="s">
        <v>502</v>
      </c>
      <c r="E183" s="221" t="s">
        <v>508</v>
      </c>
      <c r="F183" s="181">
        <v>267.45</v>
      </c>
      <c r="G183" s="181">
        <f t="shared" si="10"/>
        <v>12.168975</v>
      </c>
    </row>
    <row r="184" spans="1:7" ht="22.5">
      <c r="A184" s="163" t="s">
        <v>487</v>
      </c>
      <c r="B184" s="165" t="s">
        <v>692</v>
      </c>
      <c r="C184" s="163" t="s">
        <v>693</v>
      </c>
      <c r="D184" s="163" t="s">
        <v>486</v>
      </c>
      <c r="E184" s="221" t="s">
        <v>694</v>
      </c>
      <c r="F184" s="181">
        <f>ROUND(3.31247765881993*1000/(1-0.18),2)</f>
        <v>4039.61</v>
      </c>
      <c r="G184" s="181">
        <f t="shared" si="10"/>
        <v>228.64192599999998</v>
      </c>
    </row>
    <row r="185" spans="1:7" ht="22.5">
      <c r="A185" s="163" t="s">
        <v>529</v>
      </c>
      <c r="B185" s="163" t="s">
        <v>512</v>
      </c>
      <c r="C185" s="163" t="s">
        <v>513</v>
      </c>
      <c r="D185" s="163" t="s">
        <v>27</v>
      </c>
      <c r="E185" s="221" t="s">
        <v>508</v>
      </c>
      <c r="F185" s="181">
        <v>20.079999999999998</v>
      </c>
      <c r="G185" s="181">
        <f t="shared" si="10"/>
        <v>0.9136399999999999</v>
      </c>
    </row>
    <row r="186" spans="1:7" ht="22.5">
      <c r="A186" s="163" t="s">
        <v>529</v>
      </c>
      <c r="B186" s="163" t="s">
        <v>514</v>
      </c>
      <c r="C186" s="163" t="s">
        <v>515</v>
      </c>
      <c r="D186" s="163" t="s">
        <v>27</v>
      </c>
      <c r="E186" s="221" t="s">
        <v>516</v>
      </c>
      <c r="F186" s="181">
        <v>50.22</v>
      </c>
      <c r="G186" s="181">
        <f t="shared" si="10"/>
        <v>1.139994</v>
      </c>
    </row>
    <row r="187" spans="1:7" ht="33.75">
      <c r="A187" s="163" t="s">
        <v>529</v>
      </c>
      <c r="B187" s="163" t="s">
        <v>695</v>
      </c>
      <c r="C187" s="163" t="s">
        <v>517</v>
      </c>
      <c r="D187" s="163" t="s">
        <v>502</v>
      </c>
      <c r="E187" s="221" t="s">
        <v>518</v>
      </c>
      <c r="F187" s="181">
        <v>2703.86</v>
      </c>
      <c r="G187" s="181">
        <f t="shared" si="10"/>
        <v>47.587936000000006</v>
      </c>
    </row>
    <row r="188" spans="1:7" ht="33.75">
      <c r="A188" s="163" t="s">
        <v>529</v>
      </c>
      <c r="B188" s="163" t="s">
        <v>696</v>
      </c>
      <c r="C188" s="163" t="s">
        <v>519</v>
      </c>
      <c r="D188" s="163" t="s">
        <v>505</v>
      </c>
      <c r="E188" s="221" t="s">
        <v>520</v>
      </c>
      <c r="F188" s="181">
        <v>350.66</v>
      </c>
      <c r="G188" s="181">
        <f t="shared" si="10"/>
        <v>1.7883660000000003</v>
      </c>
    </row>
    <row r="189" spans="1:7" ht="33.75">
      <c r="A189" s="163" t="s">
        <v>529</v>
      </c>
      <c r="B189" s="163" t="s">
        <v>697</v>
      </c>
      <c r="C189" s="163" t="s">
        <v>521</v>
      </c>
      <c r="D189" s="163" t="s">
        <v>502</v>
      </c>
      <c r="E189" s="221" t="s">
        <v>518</v>
      </c>
      <c r="F189" s="181">
        <v>295.3</v>
      </c>
      <c r="G189" s="181">
        <f t="shared" si="10"/>
        <v>5.1972800000000001</v>
      </c>
    </row>
    <row r="190" spans="1:7" ht="33.75">
      <c r="A190" s="163" t="s">
        <v>529</v>
      </c>
      <c r="B190" s="163" t="s">
        <v>522</v>
      </c>
      <c r="C190" s="163" t="s">
        <v>523</v>
      </c>
      <c r="D190" s="163" t="s">
        <v>505</v>
      </c>
      <c r="E190" s="221" t="s">
        <v>520</v>
      </c>
      <c r="F190" s="181">
        <v>13.75</v>
      </c>
      <c r="G190" s="181">
        <f t="shared" si="10"/>
        <v>7.0125000000000007E-2</v>
      </c>
    </row>
    <row r="191" spans="1:7" ht="15">
      <c r="A191" s="222"/>
      <c r="B191" s="222"/>
      <c r="C191" s="222"/>
      <c r="D191" s="222"/>
      <c r="E191" s="222"/>
      <c r="F191" s="181"/>
      <c r="G191" s="181"/>
    </row>
    <row r="192" spans="1:7" ht="15">
      <c r="A192" s="222"/>
      <c r="B192" s="222"/>
      <c r="C192" s="222"/>
      <c r="D192" s="222"/>
      <c r="E192" s="222"/>
      <c r="F192" s="181" t="s">
        <v>645</v>
      </c>
      <c r="G192" s="181">
        <f>SUM(G177:G191)</f>
        <v>399.06363699999997</v>
      </c>
    </row>
    <row r="193" spans="1:7" ht="15">
      <c r="A193" s="222"/>
      <c r="B193" s="222"/>
      <c r="C193" s="222"/>
      <c r="D193" s="222"/>
      <c r="E193" s="222"/>
      <c r="F193" s="222"/>
      <c r="G193" s="222"/>
    </row>
  </sheetData>
  <sheetProtection selectLockedCells="1" selectUnlockedCells="1"/>
  <mergeCells count="22">
    <mergeCell ref="A125:F125"/>
    <mergeCell ref="A146:G146"/>
    <mergeCell ref="A159:G159"/>
    <mergeCell ref="A175:G175"/>
    <mergeCell ref="A58:F58"/>
    <mergeCell ref="A60:C60"/>
    <mergeCell ref="A71:F71"/>
    <mergeCell ref="A83:G83"/>
    <mergeCell ref="A84:F84"/>
    <mergeCell ref="A103:F103"/>
    <mergeCell ref="A26:G26"/>
    <mergeCell ref="A27:G27"/>
    <mergeCell ref="A29:G29"/>
    <mergeCell ref="A46:G46"/>
    <mergeCell ref="A47:G47"/>
    <mergeCell ref="A49:G49"/>
    <mergeCell ref="A1:G1"/>
    <mergeCell ref="A2:G2"/>
    <mergeCell ref="A3:G3"/>
    <mergeCell ref="A4:G4"/>
    <mergeCell ref="A5:G5"/>
    <mergeCell ref="A6:G6"/>
  </mergeCells>
  <conditionalFormatting sqref="A8:G8">
    <cfRule type="expression" dxfId="34" priority="1" stopIfTrue="1">
      <formula>AND($A8&lt;&gt;"COMPOSICAO",$A8&lt;&gt;"INSUMO",$A8&lt;&gt;"")</formula>
    </cfRule>
    <cfRule type="expression" dxfId="33" priority="2" stopIfTrue="1">
      <formula>AND(OR($A8="COMPOSICAO",$A8="INSUMO",$A8&lt;&gt;""),$A8&lt;&gt;"")</formula>
    </cfRule>
  </conditionalFormatting>
  <conditionalFormatting sqref="A31">
    <cfRule type="expression" dxfId="32" priority="3" stopIfTrue="1">
      <formula>AND($A31&lt;&gt;"COMPOSICAO",$A31&lt;&gt;"INSUMO",$A31&lt;&gt;"")</formula>
    </cfRule>
    <cfRule type="expression" dxfId="31" priority="4" stopIfTrue="1">
      <formula>AND(OR($A31="COMPOSICAO",$A31="INSUMO",$A31&lt;&gt;""),$A31&lt;&gt;"")</formula>
    </cfRule>
  </conditionalFormatting>
  <conditionalFormatting sqref="B31 D31:G31">
    <cfRule type="expression" dxfId="30" priority="5" stopIfTrue="1">
      <formula>AND($A31&lt;&gt;"COMPOSICAO",$A31&lt;&gt;"INSUMO",$A31&lt;&gt;"")</formula>
    </cfRule>
    <cfRule type="expression" dxfId="29" priority="6" stopIfTrue="1">
      <formula>AND(OR($A31="COMPOSICAO",$A31="INSUMO",$A31&lt;&gt;""),$A31&lt;&gt;"")</formula>
    </cfRule>
  </conditionalFormatting>
  <conditionalFormatting sqref="C31">
    <cfRule type="expression" dxfId="28" priority="7" stopIfTrue="1">
      <formula>AND($A31&lt;&gt;"COMPOSICAO",$A31&lt;&gt;"INSUMO",$A31&lt;&gt;"")</formula>
    </cfRule>
    <cfRule type="expression" dxfId="27" priority="8" stopIfTrue="1">
      <formula>AND(OR($A31="COMPOSICAO",$A31="INSUMO",$A31&lt;&gt;""),$A31&lt;&gt;"")</formula>
    </cfRule>
  </conditionalFormatting>
  <conditionalFormatting sqref="D86">
    <cfRule type="expression" dxfId="26" priority="9" stopIfTrue="1">
      <formula>AND($A86&lt;&gt;"COMPOSICAO",$A86&lt;&gt;"INSUMO",$A86&lt;&gt;"")</formula>
    </cfRule>
    <cfRule type="expression" dxfId="25" priority="10" stopIfTrue="1">
      <formula>AND(OR($A86="COMPOSICAO",$A86="INSUMO",$A86&lt;&gt;""),$A86&lt;&gt;"")</formula>
    </cfRule>
  </conditionalFormatting>
  <conditionalFormatting sqref="E86">
    <cfRule type="expression" dxfId="24" priority="11" stopIfTrue="1">
      <formula>AND($A86&lt;&gt;"COMPOSICAO",$A86&lt;&gt;"INSUMO",$A86&lt;&gt;"")</formula>
    </cfRule>
    <cfRule type="expression" dxfId="23" priority="12" stopIfTrue="1">
      <formula>AND(OR($A86="COMPOSICAO",$A86="INSUMO",$A86&lt;&gt;""),$A86&lt;&gt;"")</formula>
    </cfRule>
  </conditionalFormatting>
  <conditionalFormatting sqref="D127">
    <cfRule type="expression" dxfId="22" priority="13" stopIfTrue="1">
      <formula>AND($A127&lt;&gt;"COMPOSICAO",$A127&lt;&gt;"INSUMO",$A127&lt;&gt;"")</formula>
    </cfRule>
    <cfRule type="expression" dxfId="21" priority="14" stopIfTrue="1">
      <formula>AND(OR($A127="COMPOSICAO",$A127="INSUMO",$A127&lt;&gt;""),$A127&lt;&gt;"")</formula>
    </cfRule>
  </conditionalFormatting>
  <conditionalFormatting sqref="E127">
    <cfRule type="expression" dxfId="20" priority="15" stopIfTrue="1">
      <formula>AND($A127&lt;&gt;"COMPOSICAO",$A127&lt;&gt;"INSUMO",$A127&lt;&gt;"")</formula>
    </cfRule>
    <cfRule type="expression" dxfId="19" priority="16" stopIfTrue="1">
      <formula>AND(OR($A127="COMPOSICAO",$A127="INSUMO",$A127&lt;&gt;""),$A127&lt;&gt;"")</formula>
    </cfRule>
  </conditionalFormatting>
  <conditionalFormatting sqref="B143">
    <cfRule type="expression" dxfId="18" priority="17" stopIfTrue="1">
      <formula>AND($A143&lt;&gt;"COMPOSICAO",$A143&lt;&gt;"INSUMO",$A143&lt;&gt;"")</formula>
    </cfRule>
    <cfRule type="expression" dxfId="17" priority="18" stopIfTrue="1">
      <formula>AND(OR($A143="COMPOSICAO",$A143="INSUMO",$A143&lt;&gt;""),$A143&lt;&gt;"")</formula>
    </cfRule>
  </conditionalFormatting>
  <conditionalFormatting sqref="C143">
    <cfRule type="expression" dxfId="16" priority="19" stopIfTrue="1">
      <formula>AND($A143&lt;&gt;"COMPOSICAO",$A143&lt;&gt;"INSUMO",$A143&lt;&gt;"")</formula>
    </cfRule>
    <cfRule type="expression" dxfId="15" priority="20" stopIfTrue="1">
      <formula>AND(OR($A143="COMPOSICAO",$A143="INSUMO",$A143&lt;&gt;""),$A143&lt;&gt;"")</formula>
    </cfRule>
  </conditionalFormatting>
  <conditionalFormatting sqref="E143:G143 G142">
    <cfRule type="expression" dxfId="14" priority="21" stopIfTrue="1">
      <formula>AND($A142&lt;&gt;"COMPOSICAO",$A142&lt;&gt;"INSUMO",$A142&lt;&gt;"")</formula>
    </cfRule>
    <cfRule type="expression" dxfId="13" priority="22" stopIfTrue="1">
      <formula>AND(OR($A142="COMPOSICAO",$A142="INSUMO",$A142&lt;&gt;""),$A142&lt;&gt;"")</formula>
    </cfRule>
  </conditionalFormatting>
  <conditionalFormatting sqref="C157:E157">
    <cfRule type="expression" dxfId="12" priority="23" stopIfTrue="1">
      <formula>AND($A157&lt;&gt;"COMPOSICAO",$A157&lt;&gt;"INSUMO",$A157&lt;&gt;"")</formula>
    </cfRule>
    <cfRule type="expression" dxfId="11" priority="24" stopIfTrue="1">
      <formula>AND(OR($A157="COMPOSICAO",$A157="INSUMO",$A157&lt;&gt;""),$A157&lt;&gt;"")</formula>
    </cfRule>
  </conditionalFormatting>
  <conditionalFormatting sqref="B105:G105 B121:G122 E106:E120 G106:G120">
    <cfRule type="expression" dxfId="10" priority="25" stopIfTrue="1">
      <formula>AND($A105&lt;&gt;"COMPOSICAO",$A105&lt;&gt;"INSUMO",$A105&lt;&gt;"")</formula>
    </cfRule>
    <cfRule type="expression" dxfId="9" priority="26" stopIfTrue="1">
      <formula>AND(OR($A105="COMPOSICAO",$A105="INSUMO",$A105&lt;&gt;""),$A105&lt;&gt;"")</formula>
    </cfRule>
  </conditionalFormatting>
  <conditionalFormatting sqref="A148:G148">
    <cfRule type="expression" dxfId="8" priority="27" stopIfTrue="1">
      <formula>AND($A148&lt;&gt;"COMPOSICAO",$A148&lt;&gt;"INSUMO",$A148&lt;&gt;"")</formula>
    </cfRule>
    <cfRule type="expression" dxfId="7" priority="28" stopIfTrue="1">
      <formula>AND(OR($A148="COMPOSICAO",$A148="INSUMO",$A148&lt;&gt;""),$A148&lt;&gt;"")</formula>
    </cfRule>
  </conditionalFormatting>
  <conditionalFormatting sqref="A160:D160">
    <cfRule type="expression" dxfId="6" priority="29" stopIfTrue="1">
      <formula>AND($A160&lt;&gt;"COMPOSICAO",$A160&lt;&gt;"INSUMO",$A160&lt;&gt;"")</formula>
    </cfRule>
    <cfRule type="expression" dxfId="5" priority="30" stopIfTrue="1">
      <formula>AND(OR($A160="COMPOSICAO",$A160="INSUMO",$A160&lt;&gt;""),$A160&lt;&gt;"")</formula>
    </cfRule>
  </conditionalFormatting>
  <conditionalFormatting sqref="A176:E176 E177:E190">
    <cfRule type="expression" dxfId="4" priority="31" stopIfTrue="1">
      <formula>AND($A176&lt;&gt;"COMPOSIÇÃO",$A176&lt;&gt;"INSUMO",$A176&lt;&gt;"")</formula>
    </cfRule>
    <cfRule type="expression" dxfId="3" priority="32" stopIfTrue="1">
      <formula>AND(OR($A176="COMPOSIÇÃO",$A176="INSUMO",$A176&lt;&gt;""),$A176&lt;&gt;"")</formula>
    </cfRule>
  </conditionalFormatting>
  <pageMargins left="0.51180555555555562" right="0.51180555555555562" top="0.78749999999999998" bottom="0.78749999999999998" header="0.51181102362204722" footer="0.51181102362204722"/>
  <pageSetup paperSize="9" firstPageNumber="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BreakPreview" topLeftCell="A4" zoomScaleNormal="85" zoomScaleSheetLayoutView="100" workbookViewId="0">
      <selection activeCell="D10" sqref="D10"/>
    </sheetView>
  </sheetViews>
  <sheetFormatPr defaultColWidth="9" defaultRowHeight="15"/>
  <cols>
    <col min="1" max="1" width="9.140625" style="7" customWidth="1"/>
    <col min="2" max="2" width="9" style="7"/>
    <col min="3" max="3" width="72.42578125" style="7" customWidth="1"/>
    <col min="4" max="4" width="11.85546875" style="7" customWidth="1"/>
    <col min="5" max="5" width="9" style="7"/>
    <col min="6" max="7" width="9" style="7" hidden="1" customWidth="1"/>
    <col min="8" max="16384" width="9" style="7"/>
  </cols>
  <sheetData>
    <row r="1" spans="1:15" ht="30">
      <c r="A1" s="322" t="s">
        <v>13</v>
      </c>
      <c r="B1" s="322"/>
      <c r="C1" s="322"/>
      <c r="D1" s="322"/>
      <c r="E1" s="223"/>
      <c r="F1" s="223"/>
      <c r="G1" s="223"/>
      <c r="H1" s="223"/>
      <c r="I1" s="223"/>
      <c r="J1" s="224"/>
    </row>
    <row r="2" spans="1:15" ht="23.25">
      <c r="A2" s="322" t="s">
        <v>14</v>
      </c>
      <c r="B2" s="322"/>
      <c r="C2" s="322"/>
      <c r="D2" s="322"/>
      <c r="E2" s="13"/>
      <c r="F2" s="13"/>
      <c r="G2" s="13"/>
      <c r="H2" s="13"/>
      <c r="I2" s="13"/>
      <c r="J2" s="225"/>
    </row>
    <row r="3" spans="1:15" ht="18">
      <c r="A3" s="322" t="s">
        <v>1</v>
      </c>
      <c r="B3" s="322"/>
      <c r="C3" s="322"/>
      <c r="D3" s="322"/>
      <c r="E3" s="226"/>
      <c r="F3" s="226"/>
      <c r="G3" s="226"/>
      <c r="H3" s="226"/>
      <c r="I3" s="226"/>
    </row>
    <row r="4" spans="1:15" ht="22.5">
      <c r="A4" s="355"/>
      <c r="B4" s="355"/>
      <c r="C4" s="355"/>
      <c r="D4" s="355"/>
      <c r="E4" s="10"/>
      <c r="F4" s="10"/>
      <c r="G4" s="10"/>
      <c r="H4" s="10"/>
      <c r="I4" s="10"/>
    </row>
    <row r="5" spans="1:15" ht="63.75" customHeight="1">
      <c r="A5" s="356" t="s">
        <v>698</v>
      </c>
      <c r="B5" s="356"/>
      <c r="C5" s="356"/>
      <c r="D5" s="356"/>
      <c r="E5" s="224"/>
      <c r="F5" s="224"/>
      <c r="G5" s="224"/>
      <c r="H5" s="224"/>
      <c r="I5" s="224"/>
    </row>
    <row r="6" spans="1:15" ht="67.5" customHeight="1">
      <c r="A6" s="357"/>
      <c r="B6" s="357"/>
      <c r="C6" s="357"/>
      <c r="D6" s="357"/>
      <c r="E6" s="225"/>
      <c r="F6" s="225"/>
      <c r="G6" s="225"/>
      <c r="H6" s="225"/>
      <c r="I6" s="225"/>
    </row>
    <row r="7" spans="1:15">
      <c r="A7" s="227"/>
      <c r="B7" s="228"/>
      <c r="C7" s="228"/>
      <c r="D7" s="229"/>
    </row>
    <row r="8" spans="1:15" ht="15.75">
      <c r="A8" s="230"/>
      <c r="B8" s="231"/>
      <c r="C8" s="232" t="s">
        <v>699</v>
      </c>
      <c r="D8" s="233"/>
    </row>
    <row r="9" spans="1:15" ht="15.75">
      <c r="A9" s="234">
        <v>1</v>
      </c>
      <c r="B9" s="231" t="s">
        <v>700</v>
      </c>
      <c r="C9" s="235" t="s">
        <v>701</v>
      </c>
      <c r="D9" s="236">
        <v>4.2299999999999997E-2</v>
      </c>
    </row>
    <row r="10" spans="1:15" ht="15.75">
      <c r="A10" s="234">
        <v>2</v>
      </c>
      <c r="B10" s="231" t="s">
        <v>702</v>
      </c>
      <c r="C10" s="235" t="s">
        <v>703</v>
      </c>
      <c r="D10" s="236">
        <v>5.3E-3</v>
      </c>
    </row>
    <row r="11" spans="1:15" ht="15.75">
      <c r="A11" s="234">
        <v>3</v>
      </c>
      <c r="B11" s="231" t="s">
        <v>704</v>
      </c>
      <c r="C11" s="235" t="s">
        <v>705</v>
      </c>
      <c r="D11" s="236">
        <v>7.4000000000000003E-3</v>
      </c>
    </row>
    <row r="12" spans="1:15" ht="15.75">
      <c r="A12" s="234">
        <v>4</v>
      </c>
      <c r="B12" s="231" t="s">
        <v>706</v>
      </c>
      <c r="C12" s="235" t="s">
        <v>707</v>
      </c>
      <c r="D12" s="236">
        <v>1.12E-2</v>
      </c>
    </row>
    <row r="13" spans="1:15" ht="15.75">
      <c r="A13" s="237">
        <v>5</v>
      </c>
      <c r="B13" s="232" t="s">
        <v>708</v>
      </c>
      <c r="C13" s="235" t="s">
        <v>709</v>
      </c>
      <c r="D13" s="236">
        <v>7.6700000000000004E-2</v>
      </c>
    </row>
    <row r="14" spans="1:15" ht="15.75">
      <c r="A14" s="237">
        <v>6</v>
      </c>
      <c r="B14" s="232" t="s">
        <v>710</v>
      </c>
      <c r="C14" s="235" t="s">
        <v>711</v>
      </c>
      <c r="D14" s="236">
        <v>8.5499999999999993E-2</v>
      </c>
    </row>
    <row r="15" spans="1:15" ht="15.75">
      <c r="A15" s="237" t="s">
        <v>288</v>
      </c>
      <c r="B15" s="231" t="s">
        <v>712</v>
      </c>
      <c r="C15" s="238" t="s">
        <v>712</v>
      </c>
      <c r="D15" s="239">
        <v>6.4999999999999997E-3</v>
      </c>
    </row>
    <row r="16" spans="1:15" ht="15.75">
      <c r="A16" s="237" t="s">
        <v>292</v>
      </c>
      <c r="B16" s="231" t="s">
        <v>713</v>
      </c>
      <c r="C16" s="238" t="s">
        <v>713</v>
      </c>
      <c r="D16" s="239">
        <v>0.03</v>
      </c>
      <c r="J16" s="12"/>
      <c r="K16" s="12"/>
      <c r="L16" s="12"/>
      <c r="M16" s="12"/>
      <c r="N16" s="12"/>
      <c r="O16" s="12"/>
    </row>
    <row r="17" spans="1:15" ht="15.75">
      <c r="A17" s="237" t="s">
        <v>294</v>
      </c>
      <c r="B17" s="231" t="s">
        <v>714</v>
      </c>
      <c r="C17" s="238" t="s">
        <v>715</v>
      </c>
      <c r="D17" s="239">
        <v>4.4999999999999998E-2</v>
      </c>
      <c r="J17" s="12"/>
      <c r="K17" s="12"/>
      <c r="L17" s="12"/>
      <c r="M17" s="12"/>
      <c r="N17" s="12"/>
      <c r="O17" s="12"/>
    </row>
    <row r="18" spans="1:15" ht="15.75">
      <c r="A18" s="237" t="s">
        <v>296</v>
      </c>
      <c r="B18" s="231" t="s">
        <v>716</v>
      </c>
      <c r="C18" s="238" t="s">
        <v>717</v>
      </c>
      <c r="D18" s="239">
        <v>4.0000000000000001E-3</v>
      </c>
      <c r="G18" s="240">
        <v>0.37</v>
      </c>
      <c r="H18" s="240"/>
      <c r="J18" s="12"/>
      <c r="K18" s="12"/>
      <c r="L18" s="12"/>
      <c r="M18" s="12"/>
      <c r="N18" s="12"/>
      <c r="O18" s="12"/>
    </row>
    <row r="19" spans="1:15" ht="15.75">
      <c r="A19" s="241"/>
      <c r="B19" s="242"/>
      <c r="C19" s="243"/>
      <c r="D19" s="244"/>
      <c r="G19" s="240"/>
      <c r="H19" s="240"/>
      <c r="J19" s="12"/>
      <c r="K19" s="12"/>
      <c r="L19" s="12"/>
      <c r="M19" s="12"/>
      <c r="N19" s="12"/>
      <c r="O19" s="12"/>
    </row>
    <row r="20" spans="1:15" ht="15.75">
      <c r="A20" s="245"/>
      <c r="B20" s="246"/>
      <c r="C20" s="247"/>
      <c r="D20" s="248"/>
      <c r="G20" s="240">
        <f>G18*2</f>
        <v>0.74</v>
      </c>
      <c r="J20" s="12"/>
      <c r="K20" s="12"/>
      <c r="L20" s="12"/>
      <c r="M20" s="12"/>
      <c r="N20" s="12"/>
      <c r="O20" s="12"/>
    </row>
    <row r="21" spans="1:15" ht="7.5" customHeight="1">
      <c r="A21" s="241"/>
      <c r="B21" s="225"/>
      <c r="C21" s="242"/>
      <c r="D21" s="249"/>
      <c r="J21" s="11"/>
      <c r="K21" s="11"/>
      <c r="L21" s="11"/>
      <c r="M21" s="11"/>
      <c r="N21" s="11"/>
      <c r="O21" s="11"/>
    </row>
    <row r="22" spans="1:15" ht="15.75">
      <c r="A22" s="250"/>
      <c r="B22" s="251"/>
      <c r="C22" s="252"/>
      <c r="D22" s="253"/>
      <c r="F22" s="12"/>
      <c r="G22" s="12"/>
      <c r="H22" s="11"/>
      <c r="I22" s="11"/>
      <c r="J22" s="11"/>
      <c r="K22" s="11"/>
      <c r="L22" s="11"/>
      <c r="M22" s="11"/>
      <c r="N22" s="11"/>
      <c r="O22" s="11"/>
    </row>
    <row r="23" spans="1:15" ht="15.75">
      <c r="A23" s="358" t="s">
        <v>718</v>
      </c>
      <c r="B23" s="358"/>
      <c r="C23" s="358"/>
      <c r="D23" s="358"/>
      <c r="F23" s="12"/>
      <c r="G23" s="12"/>
      <c r="H23" s="226"/>
      <c r="I23" s="226"/>
    </row>
    <row r="24" spans="1:15" ht="15.75">
      <c r="A24" s="254"/>
      <c r="B24" s="255"/>
      <c r="C24" s="256" t="s">
        <v>719</v>
      </c>
      <c r="D24" s="257">
        <v>0.25603147862219822</v>
      </c>
      <c r="E24" s="258"/>
      <c r="F24" s="12"/>
      <c r="G24" s="12"/>
      <c r="H24" s="226"/>
      <c r="I24" s="226"/>
    </row>
    <row r="25" spans="1:15" ht="15.75">
      <c r="A25" s="259"/>
      <c r="B25" s="251"/>
      <c r="C25" s="260"/>
      <c r="D25" s="261"/>
      <c r="F25" s="12"/>
      <c r="G25" s="12"/>
      <c r="H25" s="11"/>
      <c r="I25" s="11"/>
    </row>
    <row r="26" spans="1:15">
      <c r="A26" s="262"/>
      <c r="B26" s="263"/>
      <c r="C26" s="264"/>
      <c r="D26" s="265"/>
      <c r="F26" s="12"/>
      <c r="G26" s="12"/>
      <c r="H26" s="11"/>
      <c r="I26" s="11"/>
    </row>
    <row r="27" spans="1:15">
      <c r="A27" s="262" t="s">
        <v>720</v>
      </c>
      <c r="B27" s="263"/>
      <c r="C27" s="266"/>
      <c r="D27" s="267"/>
    </row>
    <row r="28" spans="1:15">
      <c r="A28" s="268" t="s">
        <v>721</v>
      </c>
      <c r="B28" s="269"/>
      <c r="C28" s="270"/>
      <c r="D28" s="271"/>
    </row>
    <row r="29" spans="1:15">
      <c r="A29" s="272"/>
      <c r="B29" s="272"/>
      <c r="C29" s="272"/>
      <c r="D29" s="272"/>
    </row>
    <row r="30" spans="1:15">
      <c r="A30" s="272"/>
      <c r="B30" s="272"/>
      <c r="C30" s="272"/>
      <c r="D30" s="272"/>
    </row>
  </sheetData>
  <sheetProtection selectLockedCells="1" selectUnlockedCells="1"/>
  <mergeCells count="7">
    <mergeCell ref="A23:D23"/>
    <mergeCell ref="A1:D1"/>
    <mergeCell ref="A2:D2"/>
    <mergeCell ref="A3:D3"/>
    <mergeCell ref="A4:D4"/>
    <mergeCell ref="A5:D5"/>
    <mergeCell ref="A6:D6"/>
  </mergeCells>
  <pageMargins left="0.51180555555555562" right="0.51180555555555562" top="0.78749999999999998" bottom="0.78749999999999998" header="0.51181102362204722" footer="0.51181102362204722"/>
  <pageSetup paperSize="9" scale="89" firstPageNumber="0"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4"/>
  <sheetViews>
    <sheetView view="pageBreakPreview" zoomScale="70" zoomScaleSheetLayoutView="70" workbookViewId="0"/>
  </sheetViews>
  <sheetFormatPr defaultRowHeight="15.75"/>
  <cols>
    <col min="1" max="1" width="10.140625" customWidth="1"/>
    <col min="2" max="2" width="30.140625" style="38" customWidth="1"/>
    <col min="3" max="3" width="130.42578125" style="39" customWidth="1"/>
    <col min="4" max="4" width="7.7109375" style="40" customWidth="1"/>
    <col min="5" max="5" width="13.42578125" style="41" customWidth="1"/>
    <col min="6" max="6" width="16.7109375" customWidth="1"/>
    <col min="7" max="7" width="15.85546875" customWidth="1"/>
    <col min="8" max="8" width="22.42578125" customWidth="1"/>
    <col min="9" max="9" width="20.140625" customWidth="1"/>
    <col min="10" max="10" width="22.42578125" customWidth="1"/>
    <col min="11" max="11" width="10.5703125" hidden="1" customWidth="1"/>
    <col min="12" max="13" width="14.85546875" style="42" hidden="1" customWidth="1"/>
    <col min="14" max="14" width="14.7109375" style="42" hidden="1" customWidth="1"/>
    <col min="15" max="15" width="10" style="42" hidden="1" customWidth="1"/>
    <col min="16" max="16" width="255.5703125" style="42" hidden="1" customWidth="1"/>
    <col min="17" max="17" width="18.7109375" style="42" hidden="1" customWidth="1"/>
    <col min="18" max="18" width="9" style="42" hidden="1" customWidth="1"/>
    <col min="19" max="19" width="18.42578125" style="273" customWidth="1"/>
    <col min="20" max="20" width="9" style="42" customWidth="1"/>
    <col min="21" max="21" width="9" style="48" customWidth="1"/>
    <col min="22" max="31" width="9" style="42" customWidth="1"/>
  </cols>
  <sheetData>
    <row r="1" spans="1:31" ht="18">
      <c r="A1" s="322" t="s">
        <v>13</v>
      </c>
      <c r="B1" s="322"/>
      <c r="C1" s="322"/>
      <c r="D1" s="322"/>
      <c r="E1" s="322"/>
      <c r="F1" s="322"/>
      <c r="G1" s="322"/>
      <c r="H1" s="322"/>
      <c r="I1" s="322"/>
      <c r="J1" s="322"/>
    </row>
    <row r="2" spans="1:31" ht="18">
      <c r="A2" s="322" t="s">
        <v>14</v>
      </c>
      <c r="B2" s="322"/>
      <c r="C2" s="322"/>
      <c r="D2" s="322"/>
      <c r="E2" s="322"/>
      <c r="F2" s="322"/>
      <c r="G2" s="322"/>
      <c r="H2" s="322"/>
      <c r="I2" s="322"/>
      <c r="J2" s="322"/>
    </row>
    <row r="3" spans="1:31" ht="18">
      <c r="A3" s="322" t="s">
        <v>1</v>
      </c>
      <c r="B3" s="322"/>
      <c r="C3" s="322"/>
      <c r="D3" s="322"/>
      <c r="E3" s="322"/>
      <c r="F3" s="322"/>
      <c r="G3" s="322"/>
      <c r="H3" s="322"/>
      <c r="I3" s="322"/>
      <c r="J3" s="322"/>
    </row>
    <row r="4" spans="1:31" ht="21">
      <c r="A4" s="274"/>
      <c r="B4" s="274"/>
      <c r="C4" s="274"/>
      <c r="D4" s="274"/>
      <c r="E4" s="274"/>
      <c r="F4" s="274"/>
      <c r="G4" s="274"/>
      <c r="H4" s="274"/>
      <c r="I4" s="274"/>
      <c r="J4" s="274"/>
    </row>
    <row r="5" spans="1:31" ht="45.75" customHeight="1">
      <c r="A5" s="359" t="s">
        <v>722</v>
      </c>
      <c r="B5" s="359"/>
      <c r="C5" s="359"/>
      <c r="D5" s="359"/>
      <c r="E5" s="359"/>
      <c r="F5" s="359"/>
      <c r="G5" s="359"/>
      <c r="H5" s="359"/>
      <c r="I5" s="359"/>
      <c r="J5" s="359"/>
      <c r="S5" s="275" t="s">
        <v>723</v>
      </c>
      <c r="T5" s="276" t="s">
        <v>724</v>
      </c>
    </row>
    <row r="6" spans="1:31" ht="21" customHeight="1">
      <c r="A6" s="359"/>
      <c r="B6" s="359"/>
      <c r="C6" s="359"/>
      <c r="D6" s="359"/>
      <c r="E6" s="359"/>
      <c r="F6" s="359"/>
      <c r="G6" s="359"/>
      <c r="H6" s="359"/>
      <c r="I6" s="359"/>
      <c r="J6" s="359"/>
      <c r="S6" s="275" t="s">
        <v>725</v>
      </c>
      <c r="T6" s="277">
        <v>0.7</v>
      </c>
    </row>
    <row r="7" spans="1:31" ht="26.25">
      <c r="A7" s="360" t="s">
        <v>86</v>
      </c>
      <c r="B7" s="360"/>
      <c r="C7" s="360"/>
      <c r="D7" s="360"/>
      <c r="E7" s="360"/>
      <c r="F7" s="360"/>
      <c r="G7" s="360"/>
      <c r="H7" s="360"/>
      <c r="I7" s="360"/>
      <c r="J7" s="360"/>
      <c r="S7" s="275" t="s">
        <v>726</v>
      </c>
      <c r="T7" s="277">
        <v>0.9</v>
      </c>
    </row>
    <row r="8" spans="1:31" ht="15">
      <c r="A8" s="42"/>
      <c r="B8" s="132"/>
      <c r="C8" s="99"/>
      <c r="D8" s="133"/>
      <c r="E8" s="134"/>
      <c r="F8" s="42"/>
      <c r="G8" s="42"/>
      <c r="H8" s="42"/>
      <c r="I8" s="42"/>
      <c r="J8" s="42"/>
      <c r="K8" s="42"/>
      <c r="S8" s="275" t="s">
        <v>727</v>
      </c>
      <c r="T8" s="277">
        <v>1</v>
      </c>
    </row>
    <row r="9" spans="1:31" ht="18" customHeight="1">
      <c r="A9" s="342" t="s">
        <v>387</v>
      </c>
      <c r="B9" s="342" t="s">
        <v>388</v>
      </c>
      <c r="C9" s="343" t="s">
        <v>389</v>
      </c>
      <c r="D9" s="343" t="s">
        <v>390</v>
      </c>
      <c r="E9" s="344" t="s">
        <v>391</v>
      </c>
      <c r="F9" s="345" t="s">
        <v>392</v>
      </c>
      <c r="G9" s="345"/>
      <c r="H9" s="345" t="s">
        <v>102</v>
      </c>
      <c r="I9" s="345"/>
      <c r="J9" s="345"/>
      <c r="K9" s="42"/>
      <c r="L9" s="329" t="s">
        <v>393</v>
      </c>
      <c r="M9" s="329"/>
      <c r="N9" s="329"/>
      <c r="O9" s="42" t="s">
        <v>394</v>
      </c>
    </row>
    <row r="10" spans="1:31" ht="18.75">
      <c r="A10" s="342"/>
      <c r="B10" s="342"/>
      <c r="C10" s="343"/>
      <c r="D10" s="343"/>
      <c r="E10" s="344"/>
      <c r="F10" s="135" t="s">
        <v>91</v>
      </c>
      <c r="G10" s="135" t="s">
        <v>92</v>
      </c>
      <c r="H10" s="135" t="s">
        <v>93</v>
      </c>
      <c r="I10" s="135" t="s">
        <v>94</v>
      </c>
      <c r="J10" s="135" t="s">
        <v>395</v>
      </c>
      <c r="K10" s="42"/>
      <c r="L10" s="42" t="s">
        <v>396</v>
      </c>
      <c r="M10" s="42" t="s">
        <v>397</v>
      </c>
      <c r="N10" s="42" t="s">
        <v>398</v>
      </c>
    </row>
    <row r="11" spans="1:31" ht="18.75">
      <c r="A11" s="18">
        <v>1</v>
      </c>
      <c r="B11" s="18"/>
      <c r="C11" s="19" t="s">
        <v>23</v>
      </c>
      <c r="D11" s="18"/>
      <c r="E11" s="51"/>
      <c r="F11" s="18"/>
      <c r="G11" s="18"/>
      <c r="H11" s="18"/>
      <c r="I11" s="18"/>
      <c r="J11" s="18"/>
      <c r="K11" s="52"/>
      <c r="L11" s="52"/>
      <c r="M11" s="52"/>
      <c r="N11" s="52"/>
      <c r="O11" s="52"/>
      <c r="P11" s="53"/>
      <c r="Q11" s="52"/>
      <c r="R11" s="52"/>
      <c r="S11" s="278"/>
      <c r="T11" s="52"/>
      <c r="U11" s="279"/>
      <c r="V11" s="52"/>
      <c r="W11" s="52"/>
      <c r="X11" s="52"/>
      <c r="Y11" s="52"/>
      <c r="Z11" s="52"/>
      <c r="AA11" s="52"/>
      <c r="AB11" s="52"/>
      <c r="AC11" s="52"/>
      <c r="AD11" s="52"/>
      <c r="AE11" s="52"/>
    </row>
    <row r="12" spans="1:31" ht="18.75">
      <c r="A12" s="22" t="s">
        <v>353</v>
      </c>
      <c r="B12" s="119" t="s">
        <v>349</v>
      </c>
      <c r="C12" s="119" t="s">
        <v>728</v>
      </c>
      <c r="D12" s="150" t="s">
        <v>729</v>
      </c>
      <c r="E12" s="54" t="e">
        <f>ROUND(#REF!,2)</f>
        <v>#REF!</v>
      </c>
      <c r="F12" s="55">
        <f t="shared" ref="F12:F55" si="0">ROUND(L12,2)</f>
        <v>13.57</v>
      </c>
      <c r="G12" s="55">
        <f t="shared" ref="G12:G55" si="1">ROUND(M12,2)</f>
        <v>3.39</v>
      </c>
      <c r="H12" s="55" t="e">
        <f t="shared" ref="H12:H55" si="2">E12*F12</f>
        <v>#REF!</v>
      </c>
      <c r="I12" s="55" t="e">
        <f t="shared" ref="I12:I55" si="3">E12*G12</f>
        <v>#REF!</v>
      </c>
      <c r="J12" s="55" t="e">
        <f t="shared" ref="J12:J55" si="4">I12+H12</f>
        <v>#REF!</v>
      </c>
      <c r="K12" s="56">
        <f t="shared" ref="K12:K56" si="5">F12+G12</f>
        <v>16.96</v>
      </c>
      <c r="L12" s="53">
        <f t="shared" ref="L12:L55" si="6">O12*0.8</f>
        <v>13.574848000000001</v>
      </c>
      <c r="M12" s="53">
        <f t="shared" ref="M12:M55" si="7">O12*0.2</f>
        <v>3.3937120000000003</v>
      </c>
      <c r="N12" s="147">
        <v>13.51</v>
      </c>
      <c r="O12" s="58">
        <f t="shared" ref="O12:O55" si="8">N12*1.256</f>
        <v>16.96856</v>
      </c>
      <c r="P12" s="65" t="s">
        <v>473</v>
      </c>
      <c r="Q12" s="55">
        <v>5235</v>
      </c>
      <c r="S12" s="280" t="e">
        <f t="shared" ref="S12:S55" si="9">J12/$J$64</f>
        <v>#REF!</v>
      </c>
      <c r="T12" s="281" t="e">
        <f>(S12)</f>
        <v>#REF!</v>
      </c>
      <c r="U12" s="282" t="e">
        <f t="shared" ref="U12:U55" si="10">IF(T12&lt;=$T$6,"A",IF(T12&lt;=$T$7,"B","C"))</f>
        <v>#REF!</v>
      </c>
      <c r="V12" s="53"/>
      <c r="W12" s="53"/>
      <c r="X12" s="53"/>
      <c r="Y12" s="53"/>
      <c r="Z12" s="53"/>
      <c r="AA12" s="53"/>
      <c r="AB12" s="53"/>
      <c r="AC12" s="53"/>
      <c r="AD12" s="53"/>
      <c r="AE12" s="53"/>
    </row>
    <row r="13" spans="1:31" ht="18.75">
      <c r="A13" s="22" t="s">
        <v>68</v>
      </c>
      <c r="B13" s="22" t="s">
        <v>50</v>
      </c>
      <c r="C13" s="283" t="s">
        <v>730</v>
      </c>
      <c r="D13" s="22" t="s">
        <v>47</v>
      </c>
      <c r="E13" s="54" t="e">
        <f>ROUND(#REF!,2)</f>
        <v>#REF!</v>
      </c>
      <c r="F13" s="55">
        <f t="shared" si="0"/>
        <v>8.2100000000000009</v>
      </c>
      <c r="G13" s="55">
        <f t="shared" si="1"/>
        <v>2.0499999999999998</v>
      </c>
      <c r="H13" s="55" t="e">
        <f t="shared" si="2"/>
        <v>#REF!</v>
      </c>
      <c r="I13" s="55" t="e">
        <f t="shared" si="3"/>
        <v>#REF!</v>
      </c>
      <c r="J13" s="55" t="e">
        <f t="shared" si="4"/>
        <v>#REF!</v>
      </c>
      <c r="K13" s="56">
        <f t="shared" si="5"/>
        <v>10.260000000000002</v>
      </c>
      <c r="L13" s="53">
        <f t="shared" si="6"/>
        <v>8.214240000000002</v>
      </c>
      <c r="M13" s="53">
        <f t="shared" si="7"/>
        <v>2.0535600000000005</v>
      </c>
      <c r="N13" s="62">
        <f>1.09*7.5</f>
        <v>8.1750000000000007</v>
      </c>
      <c r="O13" s="58">
        <f t="shared" si="8"/>
        <v>10.267800000000001</v>
      </c>
      <c r="P13" t="s">
        <v>466</v>
      </c>
      <c r="Q13" s="55"/>
      <c r="R13" s="63"/>
      <c r="S13" s="280" t="e">
        <f t="shared" si="9"/>
        <v>#REF!</v>
      </c>
      <c r="T13" s="281" t="e">
        <f t="shared" ref="T13:T55" si="11">T12+S13</f>
        <v>#REF!</v>
      </c>
      <c r="U13" s="282" t="e">
        <f t="shared" si="10"/>
        <v>#REF!</v>
      </c>
      <c r="V13" s="53"/>
      <c r="W13" s="53"/>
      <c r="X13" s="53"/>
      <c r="Y13" s="53"/>
      <c r="Z13" s="53"/>
      <c r="AA13" s="53"/>
      <c r="AB13" s="53"/>
      <c r="AC13" s="53"/>
      <c r="AD13" s="53"/>
      <c r="AE13" s="53"/>
    </row>
    <row r="14" spans="1:31" ht="18.75">
      <c r="A14" s="22" t="s">
        <v>44</v>
      </c>
      <c r="B14" s="22" t="s">
        <v>731</v>
      </c>
      <c r="C14" s="283" t="s">
        <v>732</v>
      </c>
      <c r="D14" s="22" t="s">
        <v>47</v>
      </c>
      <c r="E14" s="54" t="e">
        <f>ROUND(#REF!,2)</f>
        <v>#REF!</v>
      </c>
      <c r="F14" s="55">
        <f t="shared" si="0"/>
        <v>2.4900000000000002</v>
      </c>
      <c r="G14" s="55">
        <f t="shared" si="1"/>
        <v>0.62</v>
      </c>
      <c r="H14" s="55" t="e">
        <f t="shared" si="2"/>
        <v>#REF!</v>
      </c>
      <c r="I14" s="55" t="e">
        <f t="shared" si="3"/>
        <v>#REF!</v>
      </c>
      <c r="J14" s="55" t="e">
        <f t="shared" si="4"/>
        <v>#REF!</v>
      </c>
      <c r="K14" s="56">
        <f t="shared" si="5"/>
        <v>3.1100000000000003</v>
      </c>
      <c r="L14" s="53">
        <f t="shared" si="6"/>
        <v>2.4919039999999999</v>
      </c>
      <c r="M14" s="53">
        <f t="shared" si="7"/>
        <v>0.62297599999999997</v>
      </c>
      <c r="N14" s="53">
        <v>2.48</v>
      </c>
      <c r="O14" s="58">
        <f t="shared" si="8"/>
        <v>3.1148799999999999</v>
      </c>
      <c r="P14" s="137" t="s">
        <v>461</v>
      </c>
      <c r="Q14" s="55">
        <v>22772.295000000006</v>
      </c>
      <c r="R14" s="53"/>
      <c r="S14" s="280" t="e">
        <f t="shared" si="9"/>
        <v>#REF!</v>
      </c>
      <c r="T14" s="281" t="e">
        <f t="shared" si="11"/>
        <v>#REF!</v>
      </c>
      <c r="U14" s="282" t="e">
        <f t="shared" si="10"/>
        <v>#REF!</v>
      </c>
      <c r="V14" s="53"/>
      <c r="W14" s="53"/>
      <c r="X14" s="53"/>
      <c r="Y14" s="53"/>
      <c r="Z14" s="53"/>
      <c r="AA14" s="53"/>
      <c r="AB14" s="53"/>
      <c r="AC14" s="53"/>
      <c r="AD14" s="53"/>
      <c r="AE14" s="53"/>
    </row>
    <row r="15" spans="1:31" ht="18.75">
      <c r="A15" s="22" t="s">
        <v>58</v>
      </c>
      <c r="B15" s="22" t="s">
        <v>50</v>
      </c>
      <c r="C15" s="283" t="s">
        <v>733</v>
      </c>
      <c r="D15" s="22" t="s">
        <v>47</v>
      </c>
      <c r="E15" s="54" t="e">
        <f>ROUND(#REF!,2)</f>
        <v>#REF!</v>
      </c>
      <c r="F15" s="55">
        <f t="shared" si="0"/>
        <v>3.83</v>
      </c>
      <c r="G15" s="55">
        <f t="shared" si="1"/>
        <v>0.96</v>
      </c>
      <c r="H15" s="55" t="e">
        <f t="shared" si="2"/>
        <v>#REF!</v>
      </c>
      <c r="I15" s="55" t="e">
        <f t="shared" si="3"/>
        <v>#REF!</v>
      </c>
      <c r="J15" s="55" t="e">
        <f t="shared" si="4"/>
        <v>#REF!</v>
      </c>
      <c r="K15" s="56">
        <f t="shared" si="5"/>
        <v>4.79</v>
      </c>
      <c r="L15" s="53">
        <f t="shared" si="6"/>
        <v>3.8333120000000003</v>
      </c>
      <c r="M15" s="53">
        <f t="shared" si="7"/>
        <v>0.95832800000000007</v>
      </c>
      <c r="N15" s="62">
        <f>1.09*3.5</f>
        <v>3.8150000000000004</v>
      </c>
      <c r="O15" s="58">
        <f t="shared" si="8"/>
        <v>4.7916400000000001</v>
      </c>
      <c r="P15" t="s">
        <v>466</v>
      </c>
      <c r="Q15" s="55">
        <v>17758.657800000001</v>
      </c>
      <c r="R15" s="63"/>
      <c r="S15" s="280" t="e">
        <f t="shared" si="9"/>
        <v>#REF!</v>
      </c>
      <c r="T15" s="281" t="e">
        <f t="shared" si="11"/>
        <v>#REF!</v>
      </c>
      <c r="U15" s="282" t="e">
        <f t="shared" si="10"/>
        <v>#REF!</v>
      </c>
      <c r="V15" s="53"/>
      <c r="W15" s="53"/>
      <c r="X15" s="53"/>
      <c r="Y15" s="53"/>
      <c r="Z15" s="53"/>
      <c r="AA15" s="53"/>
      <c r="AB15" s="53"/>
      <c r="AC15" s="53"/>
      <c r="AD15" s="53"/>
      <c r="AE15" s="53"/>
    </row>
    <row r="16" spans="1:31" ht="18.75">
      <c r="A16" s="22" t="s">
        <v>49</v>
      </c>
      <c r="B16" s="22" t="s">
        <v>197</v>
      </c>
      <c r="C16" s="283" t="s">
        <v>734</v>
      </c>
      <c r="D16" s="22" t="s">
        <v>47</v>
      </c>
      <c r="E16" s="54" t="e">
        <f>ROUND(#REF!,2)</f>
        <v>#REF!</v>
      </c>
      <c r="F16" s="55">
        <f t="shared" si="0"/>
        <v>4.45</v>
      </c>
      <c r="G16" s="55">
        <f t="shared" si="1"/>
        <v>1.1100000000000001</v>
      </c>
      <c r="H16" s="55" t="e">
        <f t="shared" si="2"/>
        <v>#REF!</v>
      </c>
      <c r="I16" s="55" t="e">
        <f t="shared" si="3"/>
        <v>#REF!</v>
      </c>
      <c r="J16" s="55" t="e">
        <f t="shared" si="4"/>
        <v>#REF!</v>
      </c>
      <c r="K16" s="56">
        <f t="shared" si="5"/>
        <v>5.5600000000000005</v>
      </c>
      <c r="L16" s="53">
        <f t="shared" si="6"/>
        <v>4.4512640000000001</v>
      </c>
      <c r="M16" s="53">
        <f t="shared" si="7"/>
        <v>1.112816</v>
      </c>
      <c r="N16" s="53">
        <v>4.43</v>
      </c>
      <c r="O16" s="58">
        <f t="shared" si="8"/>
        <v>5.5640799999999997</v>
      </c>
      <c r="P16" s="60" t="s">
        <v>460</v>
      </c>
      <c r="Q16" s="55">
        <v>1426.5459000000001</v>
      </c>
      <c r="R16" s="53"/>
      <c r="S16" s="280" t="e">
        <f t="shared" si="9"/>
        <v>#REF!</v>
      </c>
      <c r="T16" s="281" t="e">
        <f t="shared" si="11"/>
        <v>#REF!</v>
      </c>
      <c r="U16" s="282" t="e">
        <f t="shared" si="10"/>
        <v>#REF!</v>
      </c>
      <c r="V16" s="53"/>
      <c r="W16" s="53"/>
      <c r="X16" s="53"/>
      <c r="Y16" s="53"/>
      <c r="Z16" s="53"/>
      <c r="AA16" s="53"/>
      <c r="AB16" s="53"/>
      <c r="AC16" s="53"/>
      <c r="AD16" s="53"/>
      <c r="AE16" s="53"/>
    </row>
    <row r="17" spans="1:31" ht="18.75">
      <c r="A17" s="22" t="s">
        <v>54</v>
      </c>
      <c r="B17" s="22" t="s">
        <v>50</v>
      </c>
      <c r="C17" s="283" t="s">
        <v>735</v>
      </c>
      <c r="D17" s="22" t="s">
        <v>47</v>
      </c>
      <c r="E17" s="54" t="e">
        <f>ROUND(#REF!,2)</f>
        <v>#REF!</v>
      </c>
      <c r="F17" s="55">
        <f t="shared" si="0"/>
        <v>3.29</v>
      </c>
      <c r="G17" s="55">
        <f t="shared" si="1"/>
        <v>0.82</v>
      </c>
      <c r="H17" s="55" t="e">
        <f t="shared" si="2"/>
        <v>#REF!</v>
      </c>
      <c r="I17" s="55" t="e">
        <f t="shared" si="3"/>
        <v>#REF!</v>
      </c>
      <c r="J17" s="55" t="e">
        <f t="shared" si="4"/>
        <v>#REF!</v>
      </c>
      <c r="K17" s="56">
        <f t="shared" si="5"/>
        <v>4.1100000000000003</v>
      </c>
      <c r="L17" s="53">
        <f t="shared" si="6"/>
        <v>3.2856960000000011</v>
      </c>
      <c r="M17" s="53">
        <f t="shared" si="7"/>
        <v>0.82142400000000027</v>
      </c>
      <c r="N17" s="62">
        <f>1.09*3</f>
        <v>3.2700000000000005</v>
      </c>
      <c r="O17" s="58">
        <f t="shared" si="8"/>
        <v>4.107120000000001</v>
      </c>
      <c r="P17" t="s">
        <v>466</v>
      </c>
      <c r="Q17" s="55">
        <v>51170.247700000007</v>
      </c>
      <c r="R17" s="63"/>
      <c r="S17" s="280" t="e">
        <f t="shared" si="9"/>
        <v>#REF!</v>
      </c>
      <c r="T17" s="281" t="e">
        <f t="shared" si="11"/>
        <v>#REF!</v>
      </c>
      <c r="U17" s="282" t="e">
        <f t="shared" si="10"/>
        <v>#REF!</v>
      </c>
      <c r="V17" s="53"/>
      <c r="W17" s="53"/>
      <c r="X17" s="53"/>
      <c r="Y17" s="53"/>
      <c r="Z17" s="53"/>
      <c r="AA17" s="53"/>
      <c r="AB17" s="53"/>
      <c r="AC17" s="53"/>
      <c r="AD17" s="53"/>
      <c r="AE17" s="53"/>
    </row>
    <row r="18" spans="1:31" ht="37.5">
      <c r="A18" s="22" t="s">
        <v>736</v>
      </c>
      <c r="B18" s="22" t="s">
        <v>737</v>
      </c>
      <c r="C18" s="283" t="s">
        <v>738</v>
      </c>
      <c r="D18" s="22" t="s">
        <v>47</v>
      </c>
      <c r="E18" s="54" t="e">
        <f>ROUND(#REF!,2)</f>
        <v>#REF!</v>
      </c>
      <c r="F18" s="55">
        <f t="shared" si="0"/>
        <v>5.55</v>
      </c>
      <c r="G18" s="55">
        <f t="shared" si="1"/>
        <v>1.39</v>
      </c>
      <c r="H18" s="55" t="e">
        <f t="shared" si="2"/>
        <v>#REF!</v>
      </c>
      <c r="I18" s="55" t="e">
        <f t="shared" si="3"/>
        <v>#REF!</v>
      </c>
      <c r="J18" s="55" t="e">
        <f t="shared" si="4"/>
        <v>#REF!</v>
      </c>
      <c r="K18" s="56">
        <f t="shared" si="5"/>
        <v>6.9399999999999995</v>
      </c>
      <c r="L18" s="53">
        <f t="shared" si="6"/>
        <v>5.5464960000000003</v>
      </c>
      <c r="M18" s="53">
        <f t="shared" si="7"/>
        <v>1.3866240000000001</v>
      </c>
      <c r="N18" s="62">
        <v>5.52</v>
      </c>
      <c r="O18" s="58">
        <f t="shared" si="8"/>
        <v>6.9331199999999997</v>
      </c>
      <c r="P18" s="284" t="s">
        <v>467</v>
      </c>
      <c r="Q18" s="55"/>
      <c r="R18" s="63"/>
      <c r="S18" s="280" t="e">
        <f t="shared" si="9"/>
        <v>#REF!</v>
      </c>
      <c r="T18" s="281" t="e">
        <f t="shared" si="11"/>
        <v>#REF!</v>
      </c>
      <c r="U18" s="282" t="e">
        <f t="shared" si="10"/>
        <v>#REF!</v>
      </c>
      <c r="V18" s="53"/>
      <c r="W18" s="53"/>
      <c r="X18" s="53"/>
      <c r="Y18" s="53"/>
      <c r="Z18" s="53"/>
      <c r="AA18" s="53"/>
      <c r="AB18" s="53"/>
      <c r="AC18" s="53"/>
      <c r="AD18" s="53"/>
      <c r="AE18" s="53"/>
    </row>
    <row r="19" spans="1:31" ht="37.5">
      <c r="A19" s="22" t="s">
        <v>739</v>
      </c>
      <c r="B19" s="22" t="s">
        <v>740</v>
      </c>
      <c r="C19" s="283" t="s">
        <v>741</v>
      </c>
      <c r="D19" s="22" t="s">
        <v>47</v>
      </c>
      <c r="E19" s="54" t="e">
        <f>ROUND(#REF!,2)</f>
        <v>#REF!</v>
      </c>
      <c r="F19" s="55">
        <f t="shared" si="0"/>
        <v>5.32</v>
      </c>
      <c r="G19" s="55">
        <f t="shared" si="1"/>
        <v>1.33</v>
      </c>
      <c r="H19" s="55" t="e">
        <f t="shared" si="2"/>
        <v>#REF!</v>
      </c>
      <c r="I19" s="55" t="e">
        <f t="shared" si="3"/>
        <v>#REF!</v>
      </c>
      <c r="J19" s="55" t="e">
        <f t="shared" si="4"/>
        <v>#REF!</v>
      </c>
      <c r="K19" s="56">
        <f t="shared" si="5"/>
        <v>6.65</v>
      </c>
      <c r="L19" s="53">
        <f t="shared" si="6"/>
        <v>5.3153920000000001</v>
      </c>
      <c r="M19" s="53">
        <f t="shared" si="7"/>
        <v>1.328848</v>
      </c>
      <c r="N19" s="62">
        <v>5.29</v>
      </c>
      <c r="O19" s="58">
        <f t="shared" si="8"/>
        <v>6.6442399999999999</v>
      </c>
      <c r="P19" s="285" t="s">
        <v>472</v>
      </c>
      <c r="Q19" s="55"/>
      <c r="R19" s="63"/>
      <c r="S19" s="280" t="e">
        <f t="shared" si="9"/>
        <v>#REF!</v>
      </c>
      <c r="T19" s="281" t="e">
        <f t="shared" si="11"/>
        <v>#REF!</v>
      </c>
      <c r="U19" s="282" t="e">
        <f t="shared" si="10"/>
        <v>#REF!</v>
      </c>
      <c r="V19" s="53"/>
      <c r="W19" s="53"/>
      <c r="X19" s="53"/>
      <c r="Y19" s="53"/>
      <c r="Z19" s="53"/>
      <c r="AA19" s="53"/>
      <c r="AB19" s="53"/>
      <c r="AC19" s="53"/>
      <c r="AD19" s="53"/>
      <c r="AE19" s="53"/>
    </row>
    <row r="20" spans="1:31" ht="15" customHeight="1">
      <c r="A20" s="22" t="s">
        <v>76</v>
      </c>
      <c r="B20" s="22" t="s">
        <v>742</v>
      </c>
      <c r="C20" s="286" t="s">
        <v>63</v>
      </c>
      <c r="D20" s="22" t="s">
        <v>47</v>
      </c>
      <c r="E20" s="54" t="e">
        <f>ROUND(#REF!,2)</f>
        <v>#REF!</v>
      </c>
      <c r="F20" s="55">
        <f t="shared" si="0"/>
        <v>1.69</v>
      </c>
      <c r="G20" s="55">
        <f t="shared" si="1"/>
        <v>0.42</v>
      </c>
      <c r="H20" s="55" t="e">
        <f t="shared" si="2"/>
        <v>#REF!</v>
      </c>
      <c r="I20" s="55" t="e">
        <f t="shared" si="3"/>
        <v>#REF!</v>
      </c>
      <c r="J20" s="55" t="e">
        <f t="shared" si="4"/>
        <v>#REF!</v>
      </c>
      <c r="K20" s="56">
        <f t="shared" si="5"/>
        <v>2.11</v>
      </c>
      <c r="L20" s="53">
        <f t="shared" si="6"/>
        <v>1.688064</v>
      </c>
      <c r="M20" s="53">
        <f t="shared" si="7"/>
        <v>0.422016</v>
      </c>
      <c r="N20" s="62">
        <v>1.68</v>
      </c>
      <c r="O20" s="58">
        <f t="shared" si="8"/>
        <v>2.11008</v>
      </c>
      <c r="P20" s="22" t="s">
        <v>462</v>
      </c>
      <c r="Q20" s="55"/>
      <c r="R20" s="63"/>
      <c r="S20" s="280" t="e">
        <f t="shared" si="9"/>
        <v>#REF!</v>
      </c>
      <c r="T20" s="281" t="e">
        <f t="shared" si="11"/>
        <v>#REF!</v>
      </c>
      <c r="U20" s="282" t="e">
        <f t="shared" si="10"/>
        <v>#REF!</v>
      </c>
      <c r="V20" s="52"/>
      <c r="W20" s="52"/>
      <c r="X20" s="52"/>
      <c r="Y20" s="52"/>
      <c r="Z20" s="52"/>
      <c r="AA20" s="52"/>
      <c r="AB20" s="52"/>
      <c r="AC20" s="52"/>
      <c r="AD20" s="52"/>
      <c r="AE20" s="52"/>
    </row>
    <row r="21" spans="1:31" ht="37.5" customHeight="1">
      <c r="A21" s="22" t="s">
        <v>65</v>
      </c>
      <c r="B21" s="22" t="s">
        <v>50</v>
      </c>
      <c r="C21" s="283" t="s">
        <v>743</v>
      </c>
      <c r="D21" s="22" t="s">
        <v>47</v>
      </c>
      <c r="E21" s="54" t="e">
        <f>ROUND(#REF!,2)</f>
        <v>#REF!</v>
      </c>
      <c r="F21" s="55">
        <f t="shared" si="0"/>
        <v>7.67</v>
      </c>
      <c r="G21" s="55">
        <f t="shared" si="1"/>
        <v>1.92</v>
      </c>
      <c r="H21" s="55" t="e">
        <f t="shared" si="2"/>
        <v>#REF!</v>
      </c>
      <c r="I21" s="55" t="e">
        <f t="shared" si="3"/>
        <v>#REF!</v>
      </c>
      <c r="J21" s="55" t="e">
        <f t="shared" si="4"/>
        <v>#REF!</v>
      </c>
      <c r="K21" s="56">
        <f t="shared" si="5"/>
        <v>9.59</v>
      </c>
      <c r="L21" s="53">
        <f t="shared" si="6"/>
        <v>7.6666240000000005</v>
      </c>
      <c r="M21" s="53">
        <f t="shared" si="7"/>
        <v>1.9166560000000001</v>
      </c>
      <c r="N21" s="62">
        <f>1.09*7</f>
        <v>7.6300000000000008</v>
      </c>
      <c r="O21" s="58">
        <f t="shared" si="8"/>
        <v>9.5832800000000002</v>
      </c>
      <c r="P21" t="s">
        <v>466</v>
      </c>
      <c r="Q21" s="55">
        <v>36030</v>
      </c>
      <c r="R21" s="63"/>
      <c r="S21" s="280" t="e">
        <f t="shared" si="9"/>
        <v>#REF!</v>
      </c>
      <c r="T21" s="281" t="e">
        <f t="shared" si="11"/>
        <v>#REF!</v>
      </c>
      <c r="U21" s="282" t="e">
        <f t="shared" si="10"/>
        <v>#REF!</v>
      </c>
      <c r="V21" s="53"/>
      <c r="W21" s="53"/>
      <c r="X21" s="53"/>
      <c r="Y21" s="53"/>
      <c r="Z21" s="53"/>
      <c r="AA21" s="53"/>
      <c r="AB21" s="53"/>
      <c r="AC21" s="53"/>
      <c r="AD21" s="53"/>
      <c r="AE21" s="53"/>
    </row>
    <row r="22" spans="1:31" ht="18.75">
      <c r="A22" s="22" t="s">
        <v>61</v>
      </c>
      <c r="B22" s="22" t="s">
        <v>50</v>
      </c>
      <c r="C22" s="283" t="s">
        <v>744</v>
      </c>
      <c r="D22" s="22" t="s">
        <v>47</v>
      </c>
      <c r="E22" s="54" t="e">
        <f>ROUND(#REF!,2)</f>
        <v>#REF!</v>
      </c>
      <c r="F22" s="55">
        <f t="shared" si="0"/>
        <v>6.24</v>
      </c>
      <c r="G22" s="55">
        <f t="shared" si="1"/>
        <v>1.56</v>
      </c>
      <c r="H22" s="55" t="e">
        <f t="shared" si="2"/>
        <v>#REF!</v>
      </c>
      <c r="I22" s="55" t="e">
        <f t="shared" si="3"/>
        <v>#REF!</v>
      </c>
      <c r="J22" s="55" t="e">
        <f t="shared" si="4"/>
        <v>#REF!</v>
      </c>
      <c r="K22" s="56">
        <f t="shared" si="5"/>
        <v>7.8000000000000007</v>
      </c>
      <c r="L22" s="53">
        <f t="shared" si="6"/>
        <v>6.2428224000000014</v>
      </c>
      <c r="M22" s="53">
        <f t="shared" si="7"/>
        <v>1.5607056000000004</v>
      </c>
      <c r="N22" s="62">
        <f>1.09*5.7</f>
        <v>6.213000000000001</v>
      </c>
      <c r="O22" s="58">
        <f t="shared" si="8"/>
        <v>7.8035280000000009</v>
      </c>
      <c r="P22" t="s">
        <v>466</v>
      </c>
      <c r="Q22" s="55">
        <v>1150.3584000000001</v>
      </c>
      <c r="R22" s="63"/>
      <c r="S22" s="280" t="e">
        <f t="shared" si="9"/>
        <v>#REF!</v>
      </c>
      <c r="T22" s="281" t="e">
        <f t="shared" si="11"/>
        <v>#REF!</v>
      </c>
      <c r="U22" s="282" t="e">
        <f t="shared" si="10"/>
        <v>#REF!</v>
      </c>
      <c r="V22" s="53"/>
      <c r="W22" s="53"/>
      <c r="X22" s="53"/>
      <c r="Y22" s="53"/>
      <c r="Z22" s="53"/>
      <c r="AA22" s="53"/>
      <c r="AB22" s="53"/>
      <c r="AC22" s="53"/>
      <c r="AD22" s="53"/>
      <c r="AE22" s="53"/>
    </row>
    <row r="23" spans="1:31" ht="24">
      <c r="A23" s="22" t="s">
        <v>296</v>
      </c>
      <c r="B23" s="22" t="s">
        <v>306</v>
      </c>
      <c r="C23" s="22" t="s">
        <v>745</v>
      </c>
      <c r="D23" s="22" t="s">
        <v>47</v>
      </c>
      <c r="E23" s="54" t="e">
        <f>ROUND(#REF!,2)</f>
        <v>#REF!</v>
      </c>
      <c r="F23" s="55">
        <f t="shared" si="0"/>
        <v>82.82</v>
      </c>
      <c r="G23" s="55">
        <f t="shared" si="1"/>
        <v>20.7</v>
      </c>
      <c r="H23" s="55" t="e">
        <f t="shared" si="2"/>
        <v>#REF!</v>
      </c>
      <c r="I23" s="55" t="e">
        <f t="shared" si="3"/>
        <v>#REF!</v>
      </c>
      <c r="J23" s="55" t="e">
        <f t="shared" si="4"/>
        <v>#REF!</v>
      </c>
      <c r="K23" s="56">
        <f t="shared" si="5"/>
        <v>103.52</v>
      </c>
      <c r="L23" s="53">
        <f t="shared" si="6"/>
        <v>82.815616000000006</v>
      </c>
      <c r="M23" s="53">
        <f t="shared" si="7"/>
        <v>20.703904000000001</v>
      </c>
      <c r="N23" s="62">
        <v>82.42</v>
      </c>
      <c r="O23" s="58">
        <f t="shared" si="8"/>
        <v>103.51952</v>
      </c>
      <c r="P23" s="142" t="s">
        <v>746</v>
      </c>
      <c r="Q23" s="55">
        <v>41331.542399999998</v>
      </c>
      <c r="R23" s="63"/>
      <c r="S23" s="280" t="e">
        <f t="shared" si="9"/>
        <v>#REF!</v>
      </c>
      <c r="T23" s="281" t="e">
        <f t="shared" si="11"/>
        <v>#REF!</v>
      </c>
      <c r="U23" s="282" t="e">
        <f t="shared" si="10"/>
        <v>#REF!</v>
      </c>
      <c r="V23" s="63"/>
      <c r="W23" s="63"/>
      <c r="X23" s="63"/>
      <c r="Y23" s="63"/>
      <c r="Z23" s="63"/>
      <c r="AA23" s="63"/>
      <c r="AB23" s="63"/>
      <c r="AC23" s="63"/>
      <c r="AD23" s="63"/>
      <c r="AE23" s="63"/>
    </row>
    <row r="24" spans="1:31" ht="18.75">
      <c r="A24" s="22" t="s">
        <v>288</v>
      </c>
      <c r="B24" s="22" t="s">
        <v>183</v>
      </c>
      <c r="C24" s="22" t="s">
        <v>747</v>
      </c>
      <c r="D24" s="22" t="s">
        <v>47</v>
      </c>
      <c r="E24" s="54" t="e">
        <f>ROUND(#REF!,2)</f>
        <v>#REF!</v>
      </c>
      <c r="F24" s="55">
        <f t="shared" si="0"/>
        <v>67.37</v>
      </c>
      <c r="G24" s="55">
        <f t="shared" si="1"/>
        <v>16.84</v>
      </c>
      <c r="H24" s="55" t="e">
        <f t="shared" si="2"/>
        <v>#REF!</v>
      </c>
      <c r="I24" s="55" t="e">
        <f t="shared" si="3"/>
        <v>#REF!</v>
      </c>
      <c r="J24" s="55" t="e">
        <f t="shared" si="4"/>
        <v>#REF!</v>
      </c>
      <c r="K24" s="56">
        <f t="shared" si="5"/>
        <v>84.210000000000008</v>
      </c>
      <c r="L24" s="53">
        <f t="shared" si="6"/>
        <v>67.371840000000006</v>
      </c>
      <c r="M24" s="53">
        <f t="shared" si="7"/>
        <v>16.842960000000001</v>
      </c>
      <c r="N24" s="62">
        <v>67.05</v>
      </c>
      <c r="O24" s="58">
        <f t="shared" si="8"/>
        <v>84.214799999999997</v>
      </c>
      <c r="P24" s="64" t="s">
        <v>469</v>
      </c>
      <c r="Q24" s="55">
        <v>49459.5576</v>
      </c>
      <c r="R24" s="63"/>
      <c r="S24" s="280" t="e">
        <f t="shared" si="9"/>
        <v>#REF!</v>
      </c>
      <c r="T24" s="281" t="e">
        <f t="shared" si="11"/>
        <v>#REF!</v>
      </c>
      <c r="U24" s="282" t="e">
        <f t="shared" si="10"/>
        <v>#REF!</v>
      </c>
      <c r="V24" s="63"/>
      <c r="W24" s="63"/>
      <c r="X24" s="63"/>
      <c r="Y24" s="63"/>
      <c r="Z24" s="63"/>
      <c r="AA24" s="63"/>
      <c r="AB24" s="63"/>
      <c r="AC24" s="63"/>
      <c r="AD24" s="63"/>
      <c r="AE24" s="63"/>
    </row>
    <row r="25" spans="1:31" ht="18.75">
      <c r="A25" s="22" t="s">
        <v>72</v>
      </c>
      <c r="B25" s="22" t="s">
        <v>748</v>
      </c>
      <c r="C25" s="286" t="s">
        <v>749</v>
      </c>
      <c r="D25" s="22" t="s">
        <v>47</v>
      </c>
      <c r="E25" s="54" t="e">
        <f>ROUND(#REF!,2)</f>
        <v>#REF!</v>
      </c>
      <c r="F25" s="55">
        <f t="shared" si="0"/>
        <v>5.4</v>
      </c>
      <c r="G25" s="55">
        <f t="shared" si="1"/>
        <v>1.35</v>
      </c>
      <c r="H25" s="55" t="e">
        <f t="shared" si="2"/>
        <v>#REF!</v>
      </c>
      <c r="I25" s="55" t="e">
        <f t="shared" si="3"/>
        <v>#REF!</v>
      </c>
      <c r="J25" s="55" t="e">
        <f t="shared" si="4"/>
        <v>#REF!</v>
      </c>
      <c r="K25" s="56">
        <f t="shared" si="5"/>
        <v>6.75</v>
      </c>
      <c r="L25" s="53">
        <f t="shared" si="6"/>
        <v>5.3957760000000006</v>
      </c>
      <c r="M25" s="53">
        <f t="shared" si="7"/>
        <v>1.3489440000000001</v>
      </c>
      <c r="N25" s="62">
        <v>5.37</v>
      </c>
      <c r="O25" s="58">
        <f t="shared" si="8"/>
        <v>6.74472</v>
      </c>
      <c r="P25" s="64" t="s">
        <v>459</v>
      </c>
      <c r="Q25" s="55"/>
      <c r="R25" s="63"/>
      <c r="S25" s="280" t="e">
        <f t="shared" si="9"/>
        <v>#REF!</v>
      </c>
      <c r="T25" s="281" t="e">
        <f t="shared" si="11"/>
        <v>#REF!</v>
      </c>
      <c r="U25" s="282" t="e">
        <f t="shared" si="10"/>
        <v>#REF!</v>
      </c>
      <c r="V25" s="63"/>
      <c r="W25" s="63"/>
      <c r="X25" s="63"/>
      <c r="Y25" s="63"/>
      <c r="Z25" s="63"/>
      <c r="AA25" s="63"/>
      <c r="AB25" s="63"/>
      <c r="AC25" s="63"/>
      <c r="AD25" s="63"/>
      <c r="AE25" s="63"/>
    </row>
    <row r="26" spans="1:31" ht="38.25" customHeight="1">
      <c r="A26" s="22" t="s">
        <v>38</v>
      </c>
      <c r="B26" s="22" t="s">
        <v>164</v>
      </c>
      <c r="C26" s="22" t="s">
        <v>165</v>
      </c>
      <c r="D26" s="22" t="s">
        <v>41</v>
      </c>
      <c r="E26" s="54" t="e">
        <f>ROUND(#REF!,2)</f>
        <v>#REF!</v>
      </c>
      <c r="F26" s="55">
        <f t="shared" si="0"/>
        <v>0.39</v>
      </c>
      <c r="G26" s="55">
        <f t="shared" si="1"/>
        <v>0.1</v>
      </c>
      <c r="H26" s="55" t="e">
        <f t="shared" si="2"/>
        <v>#REF!</v>
      </c>
      <c r="I26" s="55" t="e">
        <f t="shared" si="3"/>
        <v>#REF!</v>
      </c>
      <c r="J26" s="55" t="e">
        <f t="shared" si="4"/>
        <v>#REF!</v>
      </c>
      <c r="K26" s="56">
        <f t="shared" si="5"/>
        <v>0.49</v>
      </c>
      <c r="L26" s="53">
        <f t="shared" si="6"/>
        <v>0.391872</v>
      </c>
      <c r="M26" s="53">
        <f t="shared" si="7"/>
        <v>9.7968E-2</v>
      </c>
      <c r="N26" s="53">
        <v>0.39</v>
      </c>
      <c r="O26" s="58">
        <f t="shared" si="8"/>
        <v>0.48984</v>
      </c>
      <c r="P26" s="60" t="s">
        <v>750</v>
      </c>
      <c r="Q26" s="55">
        <v>2086.92</v>
      </c>
      <c r="R26" s="53"/>
      <c r="S26" s="280" t="e">
        <f t="shared" si="9"/>
        <v>#REF!</v>
      </c>
      <c r="T26" s="281" t="e">
        <f t="shared" si="11"/>
        <v>#REF!</v>
      </c>
      <c r="U26" s="282" t="e">
        <f t="shared" si="10"/>
        <v>#REF!</v>
      </c>
      <c r="V26" s="63"/>
      <c r="W26" s="63"/>
      <c r="X26" s="63"/>
      <c r="Y26" s="63"/>
      <c r="Z26" s="63"/>
      <c r="AA26" s="63"/>
      <c r="AB26" s="63"/>
      <c r="AC26" s="63"/>
      <c r="AD26" s="63"/>
      <c r="AE26" s="63"/>
    </row>
    <row r="27" spans="1:31" ht="38.25" customHeight="1">
      <c r="A27" s="114" t="s">
        <v>238</v>
      </c>
      <c r="B27" s="119" t="s">
        <v>272</v>
      </c>
      <c r="C27" s="22" t="s">
        <v>275</v>
      </c>
      <c r="D27" s="22" t="s">
        <v>20</v>
      </c>
      <c r="E27" s="54" t="e">
        <f>ROUND(#REF!,2)</f>
        <v>#REF!</v>
      </c>
      <c r="F27" s="55" t="e">
        <f t="shared" si="0"/>
        <v>#REF!</v>
      </c>
      <c r="G27" s="55" t="e">
        <f t="shared" si="1"/>
        <v>#REF!</v>
      </c>
      <c r="H27" s="55" t="e">
        <f t="shared" si="2"/>
        <v>#REF!</v>
      </c>
      <c r="I27" s="55" t="e">
        <f t="shared" si="3"/>
        <v>#REF!</v>
      </c>
      <c r="J27" s="55" t="e">
        <f t="shared" si="4"/>
        <v>#REF!</v>
      </c>
      <c r="K27" s="56" t="e">
        <f t="shared" si="5"/>
        <v>#REF!</v>
      </c>
      <c r="L27" s="53" t="e">
        <f t="shared" si="6"/>
        <v>#REF!</v>
      </c>
      <c r="M27" s="53" t="e">
        <f t="shared" si="7"/>
        <v>#REF!</v>
      </c>
      <c r="N27" s="140" t="e">
        <f>#REF!</f>
        <v>#REF!</v>
      </c>
      <c r="O27" s="58" t="e">
        <f t="shared" si="8"/>
        <v>#REF!</v>
      </c>
      <c r="P27" s="64" t="s">
        <v>430</v>
      </c>
      <c r="Q27" s="55">
        <v>14171.2</v>
      </c>
      <c r="R27" s="63"/>
      <c r="S27" s="280" t="e">
        <f t="shared" si="9"/>
        <v>#REF!</v>
      </c>
      <c r="T27" s="281" t="e">
        <f t="shared" si="11"/>
        <v>#REF!</v>
      </c>
      <c r="U27" s="282" t="e">
        <f t="shared" si="10"/>
        <v>#REF!</v>
      </c>
      <c r="V27" s="63"/>
      <c r="W27" s="63"/>
      <c r="X27" s="63"/>
      <c r="Y27" s="63"/>
      <c r="Z27" s="63"/>
      <c r="AA27" s="63"/>
      <c r="AB27" s="63"/>
      <c r="AC27" s="63"/>
      <c r="AD27" s="63"/>
      <c r="AE27" s="63"/>
    </row>
    <row r="28" spans="1:31" ht="38.25" customHeight="1">
      <c r="A28" s="114" t="s">
        <v>229</v>
      </c>
      <c r="B28" s="22" t="s">
        <v>251</v>
      </c>
      <c r="C28" s="22" t="s">
        <v>252</v>
      </c>
      <c r="D28" s="22" t="s">
        <v>174</v>
      </c>
      <c r="E28" s="54" t="e">
        <f>ROUND(#REF!,2)</f>
        <v>#REF!</v>
      </c>
      <c r="F28" s="55">
        <f t="shared" si="0"/>
        <v>118.01</v>
      </c>
      <c r="G28" s="55">
        <f t="shared" si="1"/>
        <v>29.5</v>
      </c>
      <c r="H28" s="55" t="e">
        <f t="shared" si="2"/>
        <v>#REF!</v>
      </c>
      <c r="I28" s="55" t="e">
        <f t="shared" si="3"/>
        <v>#REF!</v>
      </c>
      <c r="J28" s="55" t="e">
        <f t="shared" si="4"/>
        <v>#REF!</v>
      </c>
      <c r="K28" s="56">
        <f t="shared" si="5"/>
        <v>147.51</v>
      </c>
      <c r="L28" s="53">
        <f t="shared" si="6"/>
        <v>118.01376</v>
      </c>
      <c r="M28" s="53">
        <f t="shared" si="7"/>
        <v>29.503440000000001</v>
      </c>
      <c r="N28" s="62">
        <v>117.45</v>
      </c>
      <c r="O28" s="58">
        <f t="shared" si="8"/>
        <v>147.5172</v>
      </c>
      <c r="P28" s="139" t="s">
        <v>423</v>
      </c>
      <c r="Q28" s="55">
        <v>2977</v>
      </c>
      <c r="R28" s="63"/>
      <c r="S28" s="280" t="e">
        <f t="shared" si="9"/>
        <v>#REF!</v>
      </c>
      <c r="T28" s="281" t="e">
        <f t="shared" si="11"/>
        <v>#REF!</v>
      </c>
      <c r="U28" s="282" t="e">
        <f t="shared" si="10"/>
        <v>#REF!</v>
      </c>
      <c r="V28" s="63"/>
      <c r="W28" s="63"/>
      <c r="X28" s="63"/>
      <c r="Y28" s="63"/>
      <c r="Z28" s="63"/>
      <c r="AA28" s="63"/>
      <c r="AB28" s="63"/>
      <c r="AC28" s="63"/>
      <c r="AD28" s="63"/>
      <c r="AE28" s="63"/>
    </row>
    <row r="29" spans="1:31" ht="38.25" customHeight="1">
      <c r="A29" s="22" t="s">
        <v>300</v>
      </c>
      <c r="B29" s="22" t="s">
        <v>50</v>
      </c>
      <c r="C29" s="22" t="s">
        <v>310</v>
      </c>
      <c r="D29" s="22" t="s">
        <v>47</v>
      </c>
      <c r="E29" s="54" t="e">
        <f>ROUND(#REF!,2)</f>
        <v>#REF!</v>
      </c>
      <c r="F29" s="55">
        <f t="shared" si="0"/>
        <v>16.43</v>
      </c>
      <c r="G29" s="55">
        <f t="shared" si="1"/>
        <v>4.1100000000000003</v>
      </c>
      <c r="H29" s="55" t="e">
        <f t="shared" si="2"/>
        <v>#REF!</v>
      </c>
      <c r="I29" s="55" t="e">
        <f t="shared" si="3"/>
        <v>#REF!</v>
      </c>
      <c r="J29" s="55" t="e">
        <f t="shared" si="4"/>
        <v>#REF!</v>
      </c>
      <c r="K29" s="56">
        <f t="shared" si="5"/>
        <v>20.54</v>
      </c>
      <c r="L29" s="53">
        <f t="shared" si="6"/>
        <v>16.428480000000004</v>
      </c>
      <c r="M29" s="53">
        <f t="shared" si="7"/>
        <v>4.107120000000001</v>
      </c>
      <c r="N29" s="62">
        <f>15*1.09</f>
        <v>16.350000000000001</v>
      </c>
      <c r="O29" s="58">
        <f t="shared" si="8"/>
        <v>20.535600000000002</v>
      </c>
      <c r="P29" s="287" t="s">
        <v>466</v>
      </c>
      <c r="Q29" s="55">
        <v>11682.754199999999</v>
      </c>
      <c r="R29" s="63"/>
      <c r="S29" s="280" t="e">
        <f t="shared" si="9"/>
        <v>#REF!</v>
      </c>
      <c r="T29" s="281" t="e">
        <f t="shared" si="11"/>
        <v>#REF!</v>
      </c>
      <c r="U29" s="282" t="e">
        <f t="shared" si="10"/>
        <v>#REF!</v>
      </c>
      <c r="V29" s="63"/>
      <c r="W29" s="63"/>
      <c r="X29" s="63"/>
      <c r="Y29" s="63"/>
      <c r="Z29" s="63"/>
      <c r="AA29" s="63"/>
      <c r="AB29" s="63"/>
      <c r="AC29" s="63"/>
      <c r="AD29" s="63"/>
      <c r="AE29" s="63"/>
    </row>
    <row r="30" spans="1:31" ht="38.25" customHeight="1">
      <c r="A30" s="114" t="s">
        <v>226</v>
      </c>
      <c r="B30" s="22" t="s">
        <v>245</v>
      </c>
      <c r="C30" s="22" t="s">
        <v>246</v>
      </c>
      <c r="D30" s="22" t="s">
        <v>174</v>
      </c>
      <c r="E30" s="54" t="e">
        <f>ROUND(#REF!,2)</f>
        <v>#REF!</v>
      </c>
      <c r="F30" s="55">
        <f t="shared" si="0"/>
        <v>74.47</v>
      </c>
      <c r="G30" s="55">
        <f t="shared" si="1"/>
        <v>18.62</v>
      </c>
      <c r="H30" s="55" t="e">
        <f t="shared" si="2"/>
        <v>#REF!</v>
      </c>
      <c r="I30" s="55" t="e">
        <f t="shared" si="3"/>
        <v>#REF!</v>
      </c>
      <c r="J30" s="55" t="e">
        <f t="shared" si="4"/>
        <v>#REF!</v>
      </c>
      <c r="K30" s="56">
        <f t="shared" si="5"/>
        <v>93.09</v>
      </c>
      <c r="L30" s="53">
        <f t="shared" si="6"/>
        <v>74.465727999999999</v>
      </c>
      <c r="M30" s="53">
        <f t="shared" si="7"/>
        <v>18.616432</v>
      </c>
      <c r="N30" s="62">
        <v>74.11</v>
      </c>
      <c r="O30" s="58">
        <f t="shared" si="8"/>
        <v>93.082160000000002</v>
      </c>
      <c r="P30" s="63" t="s">
        <v>421</v>
      </c>
      <c r="Q30" s="55">
        <v>3184.28</v>
      </c>
      <c r="R30" s="63"/>
      <c r="S30" s="280" t="e">
        <f t="shared" si="9"/>
        <v>#REF!</v>
      </c>
      <c r="T30" s="281" t="e">
        <f t="shared" si="11"/>
        <v>#REF!</v>
      </c>
      <c r="U30" s="282" t="e">
        <f t="shared" si="10"/>
        <v>#REF!</v>
      </c>
      <c r="V30" s="63"/>
      <c r="W30" s="63"/>
      <c r="X30" s="63"/>
      <c r="Y30" s="63"/>
      <c r="Z30" s="63"/>
      <c r="AA30" s="63"/>
      <c r="AB30" s="63"/>
      <c r="AC30" s="63"/>
      <c r="AD30" s="63"/>
      <c r="AE30" s="63"/>
    </row>
    <row r="31" spans="1:31" ht="38.25" customHeight="1">
      <c r="A31" s="22" t="s">
        <v>292</v>
      </c>
      <c r="B31" s="22" t="s">
        <v>50</v>
      </c>
      <c r="C31" s="22" t="s">
        <v>187</v>
      </c>
      <c r="D31" s="22" t="s">
        <v>47</v>
      </c>
      <c r="E31" s="54" t="e">
        <f>ROUND(#REF!,2)</f>
        <v>#REF!</v>
      </c>
      <c r="F31" s="55">
        <f t="shared" si="0"/>
        <v>16.43</v>
      </c>
      <c r="G31" s="55">
        <f t="shared" si="1"/>
        <v>4.1100000000000003</v>
      </c>
      <c r="H31" s="55" t="e">
        <f t="shared" si="2"/>
        <v>#REF!</v>
      </c>
      <c r="I31" s="55" t="e">
        <f t="shared" si="3"/>
        <v>#REF!</v>
      </c>
      <c r="J31" s="55" t="e">
        <f t="shared" si="4"/>
        <v>#REF!</v>
      </c>
      <c r="K31" s="56">
        <f t="shared" si="5"/>
        <v>20.54</v>
      </c>
      <c r="L31" s="53">
        <f t="shared" si="6"/>
        <v>16.428480000000004</v>
      </c>
      <c r="M31" s="53">
        <f t="shared" si="7"/>
        <v>4.107120000000001</v>
      </c>
      <c r="N31" s="62">
        <f>1.09*15</f>
        <v>16.350000000000001</v>
      </c>
      <c r="O31" s="58">
        <f t="shared" si="8"/>
        <v>20.535600000000002</v>
      </c>
      <c r="P31" t="s">
        <v>466</v>
      </c>
      <c r="Q31" s="55">
        <v>15577.0056</v>
      </c>
      <c r="R31" s="63"/>
      <c r="S31" s="280" t="e">
        <f t="shared" si="9"/>
        <v>#REF!</v>
      </c>
      <c r="T31" s="281" t="e">
        <f t="shared" si="11"/>
        <v>#REF!</v>
      </c>
      <c r="U31" s="282" t="e">
        <f t="shared" si="10"/>
        <v>#REF!</v>
      </c>
      <c r="V31" s="63"/>
      <c r="W31" s="63"/>
      <c r="X31" s="63"/>
      <c r="Y31" s="63"/>
      <c r="Z31" s="63"/>
      <c r="AA31" s="63"/>
      <c r="AB31" s="63"/>
      <c r="AC31" s="63"/>
      <c r="AD31" s="63"/>
      <c r="AE31" s="63"/>
    </row>
    <row r="32" spans="1:31" ht="18.75">
      <c r="A32" s="22" t="s">
        <v>24</v>
      </c>
      <c r="B32" s="22" t="s">
        <v>25</v>
      </c>
      <c r="C32" s="22" t="s">
        <v>154</v>
      </c>
      <c r="D32" s="22" t="s">
        <v>27</v>
      </c>
      <c r="E32" s="54" t="e">
        <f>ROUND(#REF!,2)</f>
        <v>#REF!</v>
      </c>
      <c r="F32" s="55">
        <f t="shared" si="0"/>
        <v>234.12</v>
      </c>
      <c r="G32" s="55">
        <f t="shared" si="1"/>
        <v>58.53</v>
      </c>
      <c r="H32" s="55" t="e">
        <f t="shared" si="2"/>
        <v>#REF!</v>
      </c>
      <c r="I32" s="55" t="e">
        <f t="shared" si="3"/>
        <v>#REF!</v>
      </c>
      <c r="J32" s="55" t="e">
        <f t="shared" si="4"/>
        <v>#REF!</v>
      </c>
      <c r="K32" s="56">
        <f t="shared" si="5"/>
        <v>292.64999999999998</v>
      </c>
      <c r="L32" s="53">
        <f t="shared" si="6"/>
        <v>234.11840000000004</v>
      </c>
      <c r="M32" s="53">
        <f t="shared" si="7"/>
        <v>58.529600000000009</v>
      </c>
      <c r="N32" s="57">
        <v>233</v>
      </c>
      <c r="O32" s="58">
        <f t="shared" si="8"/>
        <v>292.64800000000002</v>
      </c>
      <c r="P32" s="57" t="s">
        <v>399</v>
      </c>
      <c r="Q32" s="55">
        <v>2612.5</v>
      </c>
      <c r="R32" s="53"/>
      <c r="S32" s="280" t="e">
        <f t="shared" si="9"/>
        <v>#REF!</v>
      </c>
      <c r="T32" s="281" t="e">
        <f t="shared" si="11"/>
        <v>#REF!</v>
      </c>
      <c r="U32" s="282" t="e">
        <f t="shared" si="10"/>
        <v>#REF!</v>
      </c>
      <c r="V32" s="63"/>
      <c r="W32" s="63"/>
      <c r="X32" s="63"/>
      <c r="Y32" s="63"/>
      <c r="Z32" s="63"/>
      <c r="AA32" s="63"/>
      <c r="AB32" s="63"/>
      <c r="AC32" s="63"/>
      <c r="AD32" s="63"/>
      <c r="AE32" s="63"/>
    </row>
    <row r="33" spans="1:31" ht="18" customHeight="1">
      <c r="A33" s="23" t="s">
        <v>199</v>
      </c>
      <c r="B33" s="22" t="s">
        <v>751</v>
      </c>
      <c r="C33" s="22" t="s">
        <v>752</v>
      </c>
      <c r="D33" s="22" t="s">
        <v>47</v>
      </c>
      <c r="E33" s="54" t="e">
        <f>ROUND(#REF!,2)</f>
        <v>#REF!</v>
      </c>
      <c r="F33" s="55">
        <f t="shared" si="0"/>
        <v>83.42</v>
      </c>
      <c r="G33" s="55">
        <f t="shared" si="1"/>
        <v>20.85</v>
      </c>
      <c r="H33" s="55" t="e">
        <f t="shared" si="2"/>
        <v>#REF!</v>
      </c>
      <c r="I33" s="55" t="e">
        <f t="shared" si="3"/>
        <v>#REF!</v>
      </c>
      <c r="J33" s="55" t="e">
        <f t="shared" si="4"/>
        <v>#REF!</v>
      </c>
      <c r="K33" s="56">
        <f t="shared" si="5"/>
        <v>104.27000000000001</v>
      </c>
      <c r="L33" s="53">
        <f t="shared" si="6"/>
        <v>83.418496000000005</v>
      </c>
      <c r="M33" s="53">
        <f t="shared" si="7"/>
        <v>20.854624000000001</v>
      </c>
      <c r="N33" s="62">
        <v>83.02</v>
      </c>
      <c r="O33" s="58">
        <f t="shared" si="8"/>
        <v>104.27311999999999</v>
      </c>
      <c r="P33" s="139" t="s">
        <v>464</v>
      </c>
      <c r="Q33" s="55">
        <v>999.24</v>
      </c>
      <c r="R33" s="63"/>
      <c r="S33" s="280" t="e">
        <f t="shared" si="9"/>
        <v>#REF!</v>
      </c>
      <c r="T33" s="281" t="e">
        <f t="shared" si="11"/>
        <v>#REF!</v>
      </c>
      <c r="U33" s="282" t="e">
        <f t="shared" si="10"/>
        <v>#REF!</v>
      </c>
      <c r="V33" s="63"/>
      <c r="W33" s="63"/>
      <c r="X33" s="63"/>
      <c r="Y33" s="63"/>
      <c r="Z33" s="63"/>
      <c r="AA33" s="63"/>
      <c r="AB33" s="63"/>
      <c r="AC33" s="63"/>
      <c r="AD33" s="63"/>
      <c r="AE33" s="63"/>
    </row>
    <row r="34" spans="1:31" ht="38.25">
      <c r="A34" s="114" t="s">
        <v>235</v>
      </c>
      <c r="B34" s="22" t="s">
        <v>263</v>
      </c>
      <c r="C34" s="22" t="s">
        <v>264</v>
      </c>
      <c r="D34" s="22" t="s">
        <v>174</v>
      </c>
      <c r="E34" s="54" t="e">
        <f>ROUND(#REF!,2)</f>
        <v>#REF!</v>
      </c>
      <c r="F34" s="55">
        <f t="shared" si="0"/>
        <v>56.42</v>
      </c>
      <c r="G34" s="55">
        <f t="shared" si="1"/>
        <v>14.1</v>
      </c>
      <c r="H34" s="55" t="e">
        <f t="shared" si="2"/>
        <v>#REF!</v>
      </c>
      <c r="I34" s="55" t="e">
        <f t="shared" si="3"/>
        <v>#REF!</v>
      </c>
      <c r="J34" s="55" t="e">
        <f t="shared" si="4"/>
        <v>#REF!</v>
      </c>
      <c r="K34" s="56">
        <f t="shared" si="5"/>
        <v>70.52</v>
      </c>
      <c r="L34" s="53">
        <f t="shared" si="6"/>
        <v>56.419520000000006</v>
      </c>
      <c r="M34" s="53">
        <f t="shared" si="7"/>
        <v>14.104880000000001</v>
      </c>
      <c r="N34" s="62">
        <v>56.15</v>
      </c>
      <c r="O34" s="58">
        <f t="shared" si="8"/>
        <v>70.5244</v>
      </c>
      <c r="P34" s="64" t="s">
        <v>753</v>
      </c>
      <c r="Q34" s="55">
        <v>18312.8</v>
      </c>
      <c r="R34" s="63"/>
      <c r="S34" s="280" t="e">
        <f t="shared" si="9"/>
        <v>#REF!</v>
      </c>
      <c r="T34" s="281" t="e">
        <f t="shared" si="11"/>
        <v>#REF!</v>
      </c>
      <c r="U34" s="282" t="e">
        <f t="shared" si="10"/>
        <v>#REF!</v>
      </c>
      <c r="V34" s="63"/>
      <c r="W34" s="63"/>
      <c r="X34" s="63"/>
      <c r="Y34" s="63"/>
      <c r="Z34" s="63"/>
      <c r="AA34" s="63"/>
      <c r="AB34" s="63"/>
      <c r="AC34" s="63"/>
      <c r="AD34" s="63"/>
      <c r="AE34" s="63"/>
    </row>
    <row r="35" spans="1:31" ht="56.25">
      <c r="A35" s="22" t="s">
        <v>160</v>
      </c>
      <c r="B35" s="22" t="s">
        <v>161</v>
      </c>
      <c r="C35" s="29" t="s">
        <v>162</v>
      </c>
      <c r="D35" s="22" t="s">
        <v>41</v>
      </c>
      <c r="E35" s="54" t="e">
        <f>ROUND(#REF!,2)</f>
        <v>#REF!</v>
      </c>
      <c r="F35" s="55">
        <f t="shared" si="0"/>
        <v>19.14</v>
      </c>
      <c r="G35" s="55">
        <f t="shared" si="1"/>
        <v>4.79</v>
      </c>
      <c r="H35" s="55" t="e">
        <f t="shared" si="2"/>
        <v>#REF!</v>
      </c>
      <c r="I35" s="55" t="e">
        <f t="shared" si="3"/>
        <v>#REF!</v>
      </c>
      <c r="J35" s="55" t="e">
        <f t="shared" si="4"/>
        <v>#REF!</v>
      </c>
      <c r="K35" s="56">
        <f t="shared" si="5"/>
        <v>23.93</v>
      </c>
      <c r="L35" s="53">
        <f t="shared" si="6"/>
        <v>19.141439999999999</v>
      </c>
      <c r="M35" s="53">
        <f t="shared" si="7"/>
        <v>4.7853599999999998</v>
      </c>
      <c r="N35" s="53">
        <v>19.05</v>
      </c>
      <c r="O35" s="58">
        <f t="shared" si="8"/>
        <v>23.9268</v>
      </c>
      <c r="P35" s="60" t="s">
        <v>754</v>
      </c>
      <c r="Q35" s="55">
        <v>3634.5</v>
      </c>
      <c r="R35" s="53"/>
      <c r="S35" s="280" t="e">
        <f t="shared" si="9"/>
        <v>#REF!</v>
      </c>
      <c r="T35" s="281" t="e">
        <f t="shared" si="11"/>
        <v>#REF!</v>
      </c>
      <c r="U35" s="282" t="e">
        <f t="shared" si="10"/>
        <v>#REF!</v>
      </c>
      <c r="V35" s="63"/>
      <c r="W35" s="63"/>
      <c r="X35" s="63"/>
      <c r="Y35" s="63"/>
      <c r="Z35" s="63"/>
      <c r="AA35" s="63"/>
      <c r="AB35" s="63"/>
      <c r="AC35" s="63"/>
      <c r="AD35" s="63"/>
      <c r="AE35" s="63"/>
    </row>
    <row r="36" spans="1:31" ht="18" customHeight="1">
      <c r="A36" s="114" t="s">
        <v>334</v>
      </c>
      <c r="B36" s="119" t="s">
        <v>755</v>
      </c>
      <c r="C36" s="288" t="s">
        <v>756</v>
      </c>
      <c r="D36" s="22" t="s">
        <v>174</v>
      </c>
      <c r="E36" s="54" t="e">
        <f>ROUND(#REF!,2)</f>
        <v>#REF!</v>
      </c>
      <c r="F36" s="55">
        <f t="shared" si="0"/>
        <v>33.78</v>
      </c>
      <c r="G36" s="55">
        <f t="shared" si="1"/>
        <v>8.4499999999999993</v>
      </c>
      <c r="H36" s="55" t="e">
        <f t="shared" si="2"/>
        <v>#REF!</v>
      </c>
      <c r="I36" s="55" t="e">
        <f t="shared" si="3"/>
        <v>#REF!</v>
      </c>
      <c r="J36" s="55" t="e">
        <f t="shared" si="4"/>
        <v>#REF!</v>
      </c>
      <c r="K36" s="56">
        <f t="shared" si="5"/>
        <v>42.230000000000004</v>
      </c>
      <c r="L36" s="53">
        <f t="shared" si="6"/>
        <v>33.781376000000002</v>
      </c>
      <c r="M36" s="53">
        <f t="shared" si="7"/>
        <v>8.4453440000000004</v>
      </c>
      <c r="N36" s="57">
        <v>33.619999999999997</v>
      </c>
      <c r="O36" s="58">
        <f t="shared" si="8"/>
        <v>42.22672</v>
      </c>
      <c r="P36" s="57" t="s">
        <v>757</v>
      </c>
      <c r="Q36" s="55">
        <v>7572.4766</v>
      </c>
      <c r="R36" s="57"/>
      <c r="S36" s="280" t="e">
        <f t="shared" si="9"/>
        <v>#REF!</v>
      </c>
      <c r="T36" s="281" t="e">
        <f t="shared" si="11"/>
        <v>#REF!</v>
      </c>
      <c r="U36" s="282" t="e">
        <f t="shared" si="10"/>
        <v>#REF!</v>
      </c>
      <c r="V36" s="63"/>
      <c r="W36" s="63"/>
      <c r="X36" s="63"/>
      <c r="Y36" s="63"/>
      <c r="Z36" s="63"/>
      <c r="AA36" s="63"/>
      <c r="AB36" s="63"/>
      <c r="AC36" s="63"/>
      <c r="AD36" s="63"/>
      <c r="AE36" s="63"/>
    </row>
    <row r="37" spans="1:31" ht="33" customHeight="1">
      <c r="A37" s="22" t="s">
        <v>32</v>
      </c>
      <c r="B37" s="23" t="s">
        <v>33</v>
      </c>
      <c r="C37" s="22" t="s">
        <v>34</v>
      </c>
      <c r="D37" s="22" t="s">
        <v>35</v>
      </c>
      <c r="E37" s="54" t="e">
        <f>ROUND(#REF!,2)</f>
        <v>#REF!</v>
      </c>
      <c r="F37" s="55">
        <f t="shared" si="0"/>
        <v>512.45000000000005</v>
      </c>
      <c r="G37" s="55">
        <f t="shared" si="1"/>
        <v>128.11000000000001</v>
      </c>
      <c r="H37" s="55" t="e">
        <f t="shared" si="2"/>
        <v>#REF!</v>
      </c>
      <c r="I37" s="55" t="e">
        <f t="shared" si="3"/>
        <v>#REF!</v>
      </c>
      <c r="J37" s="55" t="e">
        <f t="shared" si="4"/>
        <v>#REF!</v>
      </c>
      <c r="K37" s="56">
        <f t="shared" si="5"/>
        <v>640.56000000000006</v>
      </c>
      <c r="L37" s="53">
        <f t="shared" si="6"/>
        <v>512.44800000000009</v>
      </c>
      <c r="M37" s="53">
        <f t="shared" si="7"/>
        <v>128.11200000000002</v>
      </c>
      <c r="N37" s="53">
        <v>510</v>
      </c>
      <c r="O37" s="58">
        <f t="shared" si="8"/>
        <v>640.56000000000006</v>
      </c>
      <c r="P37" s="60" t="s">
        <v>758</v>
      </c>
      <c r="Q37" s="55">
        <v>1959.36</v>
      </c>
      <c r="R37" s="53"/>
      <c r="S37" s="280" t="e">
        <f t="shared" si="9"/>
        <v>#REF!</v>
      </c>
      <c r="T37" s="281" t="e">
        <f t="shared" si="11"/>
        <v>#REF!</v>
      </c>
      <c r="U37" s="282" t="e">
        <f t="shared" si="10"/>
        <v>#REF!</v>
      </c>
      <c r="V37" s="63"/>
      <c r="W37" s="63"/>
      <c r="X37" s="63"/>
      <c r="Y37" s="63"/>
      <c r="Z37" s="63"/>
      <c r="AA37" s="63"/>
      <c r="AB37" s="63"/>
      <c r="AC37" s="63"/>
      <c r="AD37" s="63"/>
      <c r="AE37" s="63"/>
    </row>
    <row r="38" spans="1:31" ht="27.75" customHeight="1">
      <c r="A38" s="22" t="s">
        <v>357</v>
      </c>
      <c r="B38" s="119" t="s">
        <v>759</v>
      </c>
      <c r="C38" s="288" t="s">
        <v>760</v>
      </c>
      <c r="D38" s="150" t="s">
        <v>20</v>
      </c>
      <c r="E38" s="54" t="e">
        <f>ROUND(#REF!,2)</f>
        <v>#REF!</v>
      </c>
      <c r="F38" s="55">
        <f t="shared" si="0"/>
        <v>185.94</v>
      </c>
      <c r="G38" s="55">
        <f t="shared" si="1"/>
        <v>46.48</v>
      </c>
      <c r="H38" s="55" t="e">
        <f t="shared" si="2"/>
        <v>#REF!</v>
      </c>
      <c r="I38" s="55" t="e">
        <f t="shared" si="3"/>
        <v>#REF!</v>
      </c>
      <c r="J38" s="55" t="e">
        <f t="shared" si="4"/>
        <v>#REF!</v>
      </c>
      <c r="K38" s="56">
        <f t="shared" si="5"/>
        <v>232.42</v>
      </c>
      <c r="L38" s="53">
        <f t="shared" si="6"/>
        <v>185.93824000000004</v>
      </c>
      <c r="M38" s="53">
        <f t="shared" si="7"/>
        <v>46.484560000000009</v>
      </c>
      <c r="N38" s="147">
        <v>185.05</v>
      </c>
      <c r="O38" s="58">
        <f t="shared" si="8"/>
        <v>232.42280000000002</v>
      </c>
      <c r="P38" s="289" t="s">
        <v>761</v>
      </c>
      <c r="Q38" s="55"/>
      <c r="S38" s="280" t="e">
        <f t="shared" si="9"/>
        <v>#REF!</v>
      </c>
      <c r="T38" s="281" t="e">
        <f t="shared" si="11"/>
        <v>#REF!</v>
      </c>
      <c r="U38" s="282" t="e">
        <f t="shared" si="10"/>
        <v>#REF!</v>
      </c>
      <c r="V38" s="63"/>
      <c r="W38" s="63"/>
      <c r="X38" s="63"/>
      <c r="Y38" s="63"/>
      <c r="Z38" s="63"/>
      <c r="AA38" s="63"/>
      <c r="AB38" s="63"/>
      <c r="AC38" s="63"/>
      <c r="AD38" s="63"/>
      <c r="AE38" s="63"/>
    </row>
    <row r="39" spans="1:31" ht="38.25">
      <c r="A39" s="114" t="s">
        <v>231</v>
      </c>
      <c r="B39" s="22" t="s">
        <v>260</v>
      </c>
      <c r="C39" s="22" t="s">
        <v>261</v>
      </c>
      <c r="D39" s="22" t="s">
        <v>174</v>
      </c>
      <c r="E39" s="54" t="e">
        <f>ROUND(#REF!,2)</f>
        <v>#REF!</v>
      </c>
      <c r="F39" s="55">
        <f t="shared" si="0"/>
        <v>38.94</v>
      </c>
      <c r="G39" s="55">
        <f t="shared" si="1"/>
        <v>9.73</v>
      </c>
      <c r="H39" s="55" t="e">
        <f t="shared" si="2"/>
        <v>#REF!</v>
      </c>
      <c r="I39" s="55" t="e">
        <f t="shared" si="3"/>
        <v>#REF!</v>
      </c>
      <c r="J39" s="55" t="e">
        <f t="shared" si="4"/>
        <v>#REF!</v>
      </c>
      <c r="K39" s="56">
        <f t="shared" si="5"/>
        <v>48.67</v>
      </c>
      <c r="L39" s="53">
        <f t="shared" si="6"/>
        <v>38.936000000000007</v>
      </c>
      <c r="M39" s="53">
        <f t="shared" si="7"/>
        <v>9.7340000000000018</v>
      </c>
      <c r="N39" s="62">
        <v>38.75</v>
      </c>
      <c r="O39" s="58">
        <f t="shared" si="8"/>
        <v>48.67</v>
      </c>
      <c r="P39" s="64" t="s">
        <v>762</v>
      </c>
      <c r="Q39" s="55">
        <v>3562.3599999999997</v>
      </c>
      <c r="R39" s="63"/>
      <c r="S39" s="280" t="e">
        <f t="shared" si="9"/>
        <v>#REF!</v>
      </c>
      <c r="T39" s="281" t="e">
        <f t="shared" si="11"/>
        <v>#REF!</v>
      </c>
      <c r="U39" s="282" t="e">
        <f t="shared" si="10"/>
        <v>#REF!</v>
      </c>
      <c r="V39" s="63"/>
      <c r="W39" s="63"/>
      <c r="X39" s="63"/>
      <c r="Y39" s="63"/>
      <c r="Z39" s="63"/>
      <c r="AA39" s="63"/>
      <c r="AB39" s="63"/>
      <c r="AC39" s="63"/>
      <c r="AD39" s="63"/>
      <c r="AE39" s="63"/>
    </row>
    <row r="40" spans="1:31" ht="18" customHeight="1">
      <c r="A40" s="23" t="s">
        <v>81</v>
      </c>
      <c r="B40" s="22" t="s">
        <v>748</v>
      </c>
      <c r="C40" s="288" t="s">
        <v>763</v>
      </c>
      <c r="D40" s="22" t="s">
        <v>47</v>
      </c>
      <c r="E40" s="54" t="e">
        <f>ROUND(#REF!,2)</f>
        <v>#REF!</v>
      </c>
      <c r="F40" s="55">
        <f t="shared" si="0"/>
        <v>5.4</v>
      </c>
      <c r="G40" s="55">
        <f t="shared" si="1"/>
        <v>1.35</v>
      </c>
      <c r="H40" s="55" t="e">
        <f t="shared" si="2"/>
        <v>#REF!</v>
      </c>
      <c r="I40" s="55" t="e">
        <f t="shared" si="3"/>
        <v>#REF!</v>
      </c>
      <c r="J40" s="55" t="e">
        <f t="shared" si="4"/>
        <v>#REF!</v>
      </c>
      <c r="K40" s="56">
        <f t="shared" si="5"/>
        <v>6.75</v>
      </c>
      <c r="L40" s="53">
        <f t="shared" si="6"/>
        <v>5.3957760000000006</v>
      </c>
      <c r="M40" s="53">
        <f t="shared" si="7"/>
        <v>1.3489440000000001</v>
      </c>
      <c r="N40" s="62">
        <v>5.37</v>
      </c>
      <c r="O40" s="58">
        <f t="shared" si="8"/>
        <v>6.74472</v>
      </c>
      <c r="P40" s="139" t="s">
        <v>459</v>
      </c>
      <c r="Q40" s="55">
        <v>782.7183</v>
      </c>
      <c r="R40" s="63"/>
      <c r="S40" s="280" t="e">
        <f t="shared" si="9"/>
        <v>#REF!</v>
      </c>
      <c r="T40" s="281" t="e">
        <f t="shared" si="11"/>
        <v>#REF!</v>
      </c>
      <c r="U40" s="282" t="e">
        <f t="shared" si="10"/>
        <v>#REF!</v>
      </c>
      <c r="V40" s="63"/>
      <c r="W40" s="63"/>
      <c r="X40" s="63"/>
      <c r="Y40" s="63"/>
      <c r="Z40" s="63"/>
      <c r="AA40" s="63"/>
      <c r="AB40" s="63"/>
      <c r="AC40" s="63"/>
      <c r="AD40" s="63"/>
      <c r="AE40" s="63"/>
    </row>
    <row r="41" spans="1:31" ht="39.6" customHeight="1">
      <c r="A41" s="22" t="s">
        <v>361</v>
      </c>
      <c r="B41" s="119" t="s">
        <v>764</v>
      </c>
      <c r="C41" s="288" t="s">
        <v>765</v>
      </c>
      <c r="D41" s="150" t="s">
        <v>20</v>
      </c>
      <c r="E41" s="54" t="e">
        <f>ROUND(#REF!,2)</f>
        <v>#REF!</v>
      </c>
      <c r="F41" s="55">
        <f t="shared" si="0"/>
        <v>153.59</v>
      </c>
      <c r="G41" s="55">
        <f t="shared" si="1"/>
        <v>38.4</v>
      </c>
      <c r="H41" s="55" t="e">
        <f t="shared" si="2"/>
        <v>#REF!</v>
      </c>
      <c r="I41" s="55" t="e">
        <f t="shared" si="3"/>
        <v>#REF!</v>
      </c>
      <c r="J41" s="55" t="e">
        <f t="shared" si="4"/>
        <v>#REF!</v>
      </c>
      <c r="K41" s="56">
        <f t="shared" si="5"/>
        <v>191.99</v>
      </c>
      <c r="L41" s="53">
        <f t="shared" si="6"/>
        <v>153.59372800000003</v>
      </c>
      <c r="M41" s="53">
        <f t="shared" si="7"/>
        <v>38.398432000000007</v>
      </c>
      <c r="N41" s="147">
        <v>152.86000000000001</v>
      </c>
      <c r="O41" s="58">
        <f t="shared" si="8"/>
        <v>191.99216000000001</v>
      </c>
      <c r="P41" s="42" t="s">
        <v>766</v>
      </c>
      <c r="Q41" s="55"/>
      <c r="S41" s="280" t="e">
        <f t="shared" si="9"/>
        <v>#REF!</v>
      </c>
      <c r="T41" s="281" t="e">
        <f t="shared" si="11"/>
        <v>#REF!</v>
      </c>
      <c r="U41" s="282" t="e">
        <f t="shared" si="10"/>
        <v>#REF!</v>
      </c>
      <c r="V41" s="63"/>
      <c r="W41" s="63"/>
      <c r="X41" s="63"/>
      <c r="Y41" s="63"/>
      <c r="Z41" s="63"/>
      <c r="AA41" s="63"/>
      <c r="AB41" s="63"/>
      <c r="AC41" s="63"/>
      <c r="AD41" s="63"/>
      <c r="AE41" s="63"/>
    </row>
    <row r="42" spans="1:31" ht="51">
      <c r="A42" s="114" t="s">
        <v>222</v>
      </c>
      <c r="B42" s="22" t="s">
        <v>232</v>
      </c>
      <c r="C42" s="22" t="s">
        <v>233</v>
      </c>
      <c r="D42" s="22" t="s">
        <v>47</v>
      </c>
      <c r="E42" s="54" t="e">
        <f>ROUND(#REF!,2)</f>
        <v>#REF!</v>
      </c>
      <c r="F42" s="55">
        <f t="shared" si="0"/>
        <v>8.18</v>
      </c>
      <c r="G42" s="55">
        <f t="shared" si="1"/>
        <v>2.04</v>
      </c>
      <c r="H42" s="55" t="e">
        <f t="shared" si="2"/>
        <v>#REF!</v>
      </c>
      <c r="I42" s="55" t="e">
        <f t="shared" si="3"/>
        <v>#REF!</v>
      </c>
      <c r="J42" s="55" t="e">
        <f t="shared" si="4"/>
        <v>#REF!</v>
      </c>
      <c r="K42" s="56">
        <f t="shared" si="5"/>
        <v>10.219999999999999</v>
      </c>
      <c r="L42" s="53">
        <f t="shared" si="6"/>
        <v>8.1790720000000015</v>
      </c>
      <c r="M42" s="53">
        <f t="shared" si="7"/>
        <v>2.0447680000000004</v>
      </c>
      <c r="N42" s="62">
        <v>8.14</v>
      </c>
      <c r="O42" s="58">
        <f t="shared" si="8"/>
        <v>10.223840000000001</v>
      </c>
      <c r="P42" s="64" t="s">
        <v>767</v>
      </c>
      <c r="Q42" s="55">
        <v>8482.5311999999994</v>
      </c>
      <c r="R42" s="63"/>
      <c r="S42" s="280" t="e">
        <f t="shared" si="9"/>
        <v>#REF!</v>
      </c>
      <c r="T42" s="281" t="e">
        <f t="shared" si="11"/>
        <v>#REF!</v>
      </c>
      <c r="U42" s="282" t="e">
        <f t="shared" si="10"/>
        <v>#REF!</v>
      </c>
      <c r="V42" s="63"/>
      <c r="W42" s="63"/>
      <c r="X42" s="63"/>
      <c r="Y42" s="63"/>
      <c r="Z42" s="63"/>
      <c r="AA42" s="63"/>
      <c r="AB42" s="63"/>
      <c r="AC42" s="63"/>
      <c r="AD42" s="63"/>
      <c r="AE42" s="63"/>
    </row>
    <row r="43" spans="1:31" ht="18.75">
      <c r="A43" s="22" t="s">
        <v>167</v>
      </c>
      <c r="B43" s="22" t="s">
        <v>168</v>
      </c>
      <c r="C43" s="22" t="s">
        <v>169</v>
      </c>
      <c r="D43" s="22" t="s">
        <v>41</v>
      </c>
      <c r="E43" s="54" t="e">
        <f>ROUND(#REF!,2)</f>
        <v>#REF!</v>
      </c>
      <c r="F43" s="55">
        <f t="shared" si="0"/>
        <v>328.25</v>
      </c>
      <c r="G43" s="55">
        <f t="shared" si="1"/>
        <v>82.06</v>
      </c>
      <c r="H43" s="55" t="e">
        <f t="shared" si="2"/>
        <v>#REF!</v>
      </c>
      <c r="I43" s="55" t="e">
        <f t="shared" si="3"/>
        <v>#REF!</v>
      </c>
      <c r="J43" s="55" t="e">
        <f t="shared" si="4"/>
        <v>#REF!</v>
      </c>
      <c r="K43" s="56">
        <f t="shared" si="5"/>
        <v>410.31</v>
      </c>
      <c r="L43" s="53">
        <f t="shared" si="6"/>
        <v>328.24806400000006</v>
      </c>
      <c r="M43" s="53">
        <f t="shared" si="7"/>
        <v>82.062016000000014</v>
      </c>
      <c r="N43" s="53">
        <v>326.68</v>
      </c>
      <c r="O43" s="58">
        <f t="shared" si="8"/>
        <v>410.31008000000003</v>
      </c>
      <c r="P43" s="53" t="s">
        <v>768</v>
      </c>
      <c r="Q43" s="55">
        <v>1269.2099999999998</v>
      </c>
      <c r="R43" s="53"/>
      <c r="S43" s="280" t="e">
        <f t="shared" si="9"/>
        <v>#REF!</v>
      </c>
      <c r="T43" s="281" t="e">
        <f t="shared" si="11"/>
        <v>#REF!</v>
      </c>
      <c r="U43" s="282" t="e">
        <f t="shared" si="10"/>
        <v>#REF!</v>
      </c>
      <c r="V43" s="63"/>
      <c r="W43" s="63"/>
      <c r="X43" s="63"/>
      <c r="Y43" s="63"/>
      <c r="Z43" s="63"/>
      <c r="AA43" s="63"/>
      <c r="AB43" s="63"/>
      <c r="AC43" s="63"/>
      <c r="AD43" s="63"/>
      <c r="AE43" s="63"/>
    </row>
    <row r="44" spans="1:31" ht="18.75">
      <c r="A44" s="114" t="s">
        <v>241</v>
      </c>
      <c r="B44" s="22" t="s">
        <v>278</v>
      </c>
      <c r="C44" s="22" t="s">
        <v>279</v>
      </c>
      <c r="D44" s="22" t="s">
        <v>47</v>
      </c>
      <c r="E44" s="54" t="e">
        <f>ROUND(#REF!,2)</f>
        <v>#REF!</v>
      </c>
      <c r="F44" s="55">
        <f t="shared" si="0"/>
        <v>481.78</v>
      </c>
      <c r="G44" s="55">
        <f t="shared" si="1"/>
        <v>120.45</v>
      </c>
      <c r="H44" s="55" t="e">
        <f t="shared" si="2"/>
        <v>#REF!</v>
      </c>
      <c r="I44" s="55" t="e">
        <f t="shared" si="3"/>
        <v>#REF!</v>
      </c>
      <c r="J44" s="55" t="e">
        <f t="shared" si="4"/>
        <v>#REF!</v>
      </c>
      <c r="K44" s="56">
        <f t="shared" si="5"/>
        <v>602.23</v>
      </c>
      <c r="L44" s="53">
        <f t="shared" si="6"/>
        <v>481.78150400000004</v>
      </c>
      <c r="M44" s="53">
        <f t="shared" si="7"/>
        <v>120.44537600000001</v>
      </c>
      <c r="N44" s="62">
        <v>479.48</v>
      </c>
      <c r="O44" s="58">
        <f t="shared" si="8"/>
        <v>602.22688000000005</v>
      </c>
      <c r="P44" s="64" t="s">
        <v>769</v>
      </c>
      <c r="Q44" s="55">
        <v>5995</v>
      </c>
      <c r="R44" s="63"/>
      <c r="S44" s="280" t="e">
        <f t="shared" si="9"/>
        <v>#REF!</v>
      </c>
      <c r="T44" s="281" t="e">
        <f t="shared" si="11"/>
        <v>#REF!</v>
      </c>
      <c r="U44" s="282" t="e">
        <f t="shared" si="10"/>
        <v>#REF!</v>
      </c>
      <c r="V44" s="63"/>
      <c r="W44" s="63"/>
      <c r="X44" s="63"/>
      <c r="Y44" s="63"/>
      <c r="Z44" s="63"/>
      <c r="AA44" s="63"/>
      <c r="AB44" s="63"/>
      <c r="AC44" s="63"/>
      <c r="AD44" s="63"/>
      <c r="AE44" s="63"/>
    </row>
    <row r="45" spans="1:31" ht="18.75">
      <c r="A45" s="22" t="s">
        <v>29</v>
      </c>
      <c r="B45" s="22" t="s">
        <v>156</v>
      </c>
      <c r="C45" s="22" t="s">
        <v>157</v>
      </c>
      <c r="D45" s="22" t="s">
        <v>27</v>
      </c>
      <c r="E45" s="54" t="e">
        <f>ROUND(#REF!,2)</f>
        <v>#REF!</v>
      </c>
      <c r="F45" s="55">
        <f t="shared" si="0"/>
        <v>158.76</v>
      </c>
      <c r="G45" s="55">
        <f t="shared" si="1"/>
        <v>39.69</v>
      </c>
      <c r="H45" s="55" t="e">
        <f t="shared" si="2"/>
        <v>#REF!</v>
      </c>
      <c r="I45" s="55" t="e">
        <f t="shared" si="3"/>
        <v>#REF!</v>
      </c>
      <c r="J45" s="55" t="e">
        <f t="shared" si="4"/>
        <v>#REF!</v>
      </c>
      <c r="K45" s="56">
        <f t="shared" si="5"/>
        <v>198.45</v>
      </c>
      <c r="L45" s="53">
        <f t="shared" si="6"/>
        <v>158.75840000000002</v>
      </c>
      <c r="M45" s="53">
        <f t="shared" si="7"/>
        <v>39.689600000000006</v>
      </c>
      <c r="N45" s="57">
        <v>158</v>
      </c>
      <c r="O45" s="58">
        <f t="shared" si="8"/>
        <v>198.44800000000001</v>
      </c>
      <c r="P45" s="57" t="s">
        <v>400</v>
      </c>
      <c r="Q45" s="55">
        <v>823.96</v>
      </c>
      <c r="R45" s="53"/>
      <c r="S45" s="280" t="e">
        <f t="shared" si="9"/>
        <v>#REF!</v>
      </c>
      <c r="T45" s="281" t="e">
        <f t="shared" si="11"/>
        <v>#REF!</v>
      </c>
      <c r="U45" s="282" t="e">
        <f t="shared" si="10"/>
        <v>#REF!</v>
      </c>
      <c r="V45" s="63"/>
      <c r="W45" s="63"/>
      <c r="X45" s="63"/>
      <c r="Y45" s="63"/>
      <c r="Z45" s="63"/>
      <c r="AA45" s="63"/>
      <c r="AB45" s="63"/>
      <c r="AC45" s="63"/>
      <c r="AD45" s="63"/>
      <c r="AE45" s="63"/>
    </row>
    <row r="46" spans="1:31" ht="51">
      <c r="A46" s="114" t="s">
        <v>218</v>
      </c>
      <c r="B46" s="22" t="s">
        <v>219</v>
      </c>
      <c r="C46" s="22" t="s">
        <v>220</v>
      </c>
      <c r="D46" s="22" t="s">
        <v>47</v>
      </c>
      <c r="E46" s="54" t="e">
        <f>ROUND(#REF!,2)</f>
        <v>#REF!</v>
      </c>
      <c r="F46" s="55">
        <f t="shared" si="0"/>
        <v>4.8899999999999997</v>
      </c>
      <c r="G46" s="55">
        <f t="shared" si="1"/>
        <v>1.22</v>
      </c>
      <c r="H46" s="55" t="e">
        <f t="shared" si="2"/>
        <v>#REF!</v>
      </c>
      <c r="I46" s="55" t="e">
        <f t="shared" si="3"/>
        <v>#REF!</v>
      </c>
      <c r="J46" s="55" t="e">
        <f t="shared" si="4"/>
        <v>#REF!</v>
      </c>
      <c r="K46" s="56">
        <f t="shared" si="5"/>
        <v>6.1099999999999994</v>
      </c>
      <c r="L46" s="53">
        <f t="shared" si="6"/>
        <v>4.8933759999999999</v>
      </c>
      <c r="M46" s="53">
        <f t="shared" si="7"/>
        <v>1.223344</v>
      </c>
      <c r="N46" s="62">
        <v>4.87</v>
      </c>
      <c r="O46" s="58">
        <f t="shared" si="8"/>
        <v>6.1167199999999999</v>
      </c>
      <c r="P46" s="64" t="s">
        <v>770</v>
      </c>
      <c r="Q46" s="55">
        <v>6349.2</v>
      </c>
      <c r="R46" s="63"/>
      <c r="S46" s="280" t="e">
        <f t="shared" si="9"/>
        <v>#REF!</v>
      </c>
      <c r="T46" s="281" t="e">
        <f t="shared" si="11"/>
        <v>#REF!</v>
      </c>
      <c r="U46" s="282" t="e">
        <f t="shared" si="10"/>
        <v>#REF!</v>
      </c>
      <c r="V46" s="67"/>
      <c r="W46" s="67"/>
      <c r="X46" s="67"/>
      <c r="Y46" s="67"/>
      <c r="Z46" s="67"/>
      <c r="AA46" s="67"/>
      <c r="AB46" s="67"/>
      <c r="AC46" s="67"/>
      <c r="AD46" s="67"/>
      <c r="AE46" s="67"/>
    </row>
    <row r="47" spans="1:31" ht="18.75">
      <c r="A47" s="23" t="s">
        <v>201</v>
      </c>
      <c r="B47" s="22" t="s">
        <v>50</v>
      </c>
      <c r="C47" s="22" t="s">
        <v>771</v>
      </c>
      <c r="D47" s="22" t="s">
        <v>47</v>
      </c>
      <c r="E47" s="54" t="e">
        <f>ROUND(#REF!,2)</f>
        <v>#REF!</v>
      </c>
      <c r="F47" s="55">
        <f t="shared" si="0"/>
        <v>16.43</v>
      </c>
      <c r="G47" s="55">
        <f t="shared" si="1"/>
        <v>4.1100000000000003</v>
      </c>
      <c r="H47" s="55" t="e">
        <f t="shared" si="2"/>
        <v>#REF!</v>
      </c>
      <c r="I47" s="55" t="e">
        <f t="shared" si="3"/>
        <v>#REF!</v>
      </c>
      <c r="J47" s="55" t="e">
        <f t="shared" si="4"/>
        <v>#REF!</v>
      </c>
      <c r="K47" s="56">
        <f t="shared" si="5"/>
        <v>20.54</v>
      </c>
      <c r="L47" s="53">
        <f t="shared" si="6"/>
        <v>16.428480000000004</v>
      </c>
      <c r="M47" s="53">
        <f t="shared" si="7"/>
        <v>4.107120000000001</v>
      </c>
      <c r="N47" s="62">
        <f>15*1.09</f>
        <v>16.350000000000001</v>
      </c>
      <c r="O47" s="58">
        <f t="shared" si="8"/>
        <v>20.535600000000002</v>
      </c>
      <c r="P47" t="s">
        <v>466</v>
      </c>
      <c r="Q47" s="55">
        <v>346.78800000000001</v>
      </c>
      <c r="R47" s="63"/>
      <c r="S47" s="280" t="e">
        <f t="shared" si="9"/>
        <v>#REF!</v>
      </c>
      <c r="T47" s="281" t="e">
        <f t="shared" si="11"/>
        <v>#REF!</v>
      </c>
      <c r="U47" s="282" t="e">
        <f t="shared" si="10"/>
        <v>#REF!</v>
      </c>
      <c r="V47" s="63"/>
      <c r="W47" s="63"/>
      <c r="X47" s="63"/>
      <c r="Y47" s="63"/>
      <c r="Z47" s="63"/>
      <c r="AA47" s="63"/>
      <c r="AB47" s="63"/>
      <c r="AC47" s="63"/>
      <c r="AD47" s="63"/>
      <c r="AE47" s="63"/>
    </row>
    <row r="48" spans="1:31" ht="18.75">
      <c r="A48" s="114" t="s">
        <v>338</v>
      </c>
      <c r="B48" s="119" t="s">
        <v>82</v>
      </c>
      <c r="C48" s="22" t="s">
        <v>83</v>
      </c>
      <c r="D48" s="22" t="s">
        <v>20</v>
      </c>
      <c r="E48" s="54" t="e">
        <f>ROUND(#REF!,2)</f>
        <v>#REF!</v>
      </c>
      <c r="F48" s="55">
        <f t="shared" si="0"/>
        <v>33.06</v>
      </c>
      <c r="G48" s="55">
        <f t="shared" si="1"/>
        <v>8.26</v>
      </c>
      <c r="H48" s="55" t="e">
        <f t="shared" si="2"/>
        <v>#REF!</v>
      </c>
      <c r="I48" s="55" t="e">
        <f t="shared" si="3"/>
        <v>#REF!</v>
      </c>
      <c r="J48" s="55" t="e">
        <f t="shared" si="4"/>
        <v>#REF!</v>
      </c>
      <c r="K48" s="56">
        <f t="shared" si="5"/>
        <v>41.32</v>
      </c>
      <c r="L48" s="53">
        <f t="shared" si="6"/>
        <v>33.057920000000003</v>
      </c>
      <c r="M48" s="53">
        <f t="shared" si="7"/>
        <v>8.2644800000000007</v>
      </c>
      <c r="N48" s="57">
        <v>32.9</v>
      </c>
      <c r="O48" s="58">
        <f t="shared" si="8"/>
        <v>41.322400000000002</v>
      </c>
      <c r="P48" s="57" t="s">
        <v>772</v>
      </c>
      <c r="Q48" s="55">
        <v>635.05619999999988</v>
      </c>
      <c r="R48" s="57"/>
      <c r="S48" s="280" t="e">
        <f t="shared" si="9"/>
        <v>#REF!</v>
      </c>
      <c r="T48" s="281" t="e">
        <f t="shared" si="11"/>
        <v>#REF!</v>
      </c>
      <c r="U48" s="282" t="e">
        <f t="shared" si="10"/>
        <v>#REF!</v>
      </c>
      <c r="V48" s="63"/>
      <c r="W48" s="63"/>
      <c r="X48" s="63"/>
      <c r="Y48" s="63"/>
      <c r="Z48" s="63"/>
      <c r="AA48" s="63"/>
      <c r="AB48" s="63"/>
      <c r="AC48" s="63"/>
      <c r="AD48" s="63"/>
      <c r="AE48" s="63"/>
    </row>
    <row r="49" spans="1:31" ht="26.45" customHeight="1">
      <c r="A49" s="22" t="s">
        <v>367</v>
      </c>
      <c r="B49" s="119" t="s">
        <v>773</v>
      </c>
      <c r="C49" s="288" t="s">
        <v>774</v>
      </c>
      <c r="D49" s="150" t="s">
        <v>20</v>
      </c>
      <c r="E49" s="54" t="e">
        <f>ROUND(#REF!,2)</f>
        <v>#REF!</v>
      </c>
      <c r="F49" s="55">
        <f t="shared" si="0"/>
        <v>48.23</v>
      </c>
      <c r="G49" s="55">
        <f t="shared" si="1"/>
        <v>12.06</v>
      </c>
      <c r="H49" s="55" t="e">
        <f t="shared" si="2"/>
        <v>#REF!</v>
      </c>
      <c r="I49" s="55" t="e">
        <f t="shared" si="3"/>
        <v>#REF!</v>
      </c>
      <c r="J49" s="55" t="e">
        <f t="shared" si="4"/>
        <v>#REF!</v>
      </c>
      <c r="K49" s="56">
        <f t="shared" si="5"/>
        <v>60.29</v>
      </c>
      <c r="L49" s="53">
        <f t="shared" si="6"/>
        <v>48.230400000000003</v>
      </c>
      <c r="M49" s="53">
        <f t="shared" si="7"/>
        <v>12.057600000000001</v>
      </c>
      <c r="N49" s="290">
        <v>48</v>
      </c>
      <c r="O49" s="291">
        <f t="shared" si="8"/>
        <v>60.287999999999997</v>
      </c>
      <c r="P49" s="289" t="s">
        <v>775</v>
      </c>
      <c r="Q49" s="287"/>
      <c r="S49" s="280" t="e">
        <f t="shared" si="9"/>
        <v>#REF!</v>
      </c>
      <c r="T49" s="281" t="e">
        <f t="shared" si="11"/>
        <v>#REF!</v>
      </c>
      <c r="U49" s="282" t="e">
        <f t="shared" si="10"/>
        <v>#REF!</v>
      </c>
      <c r="V49" s="63"/>
      <c r="W49" s="63"/>
      <c r="X49" s="63"/>
      <c r="Y49" s="63"/>
      <c r="Z49" s="63"/>
      <c r="AA49" s="63"/>
      <c r="AB49" s="63"/>
      <c r="AC49" s="63"/>
      <c r="AD49" s="63"/>
      <c r="AE49" s="63"/>
    </row>
    <row r="50" spans="1:31" ht="25.5">
      <c r="A50" s="114" t="s">
        <v>244</v>
      </c>
      <c r="B50" s="22" t="s">
        <v>776</v>
      </c>
      <c r="C50" s="22" t="s">
        <v>282</v>
      </c>
      <c r="D50" s="22" t="s">
        <v>47</v>
      </c>
      <c r="E50" s="54" t="e">
        <f>ROUND(#REF!,2)</f>
        <v>#REF!</v>
      </c>
      <c r="F50" s="55">
        <f t="shared" si="0"/>
        <v>348.43</v>
      </c>
      <c r="G50" s="55">
        <f t="shared" si="1"/>
        <v>87.11</v>
      </c>
      <c r="H50" s="55" t="e">
        <f t="shared" si="2"/>
        <v>#REF!</v>
      </c>
      <c r="I50" s="55" t="e">
        <f t="shared" si="3"/>
        <v>#REF!</v>
      </c>
      <c r="J50" s="55" t="e">
        <f t="shared" si="4"/>
        <v>#REF!</v>
      </c>
      <c r="K50" s="56">
        <f t="shared" si="5"/>
        <v>435.54</v>
      </c>
      <c r="L50" s="53">
        <f t="shared" si="6"/>
        <v>348.43449600000002</v>
      </c>
      <c r="M50" s="53">
        <f t="shared" si="7"/>
        <v>87.108624000000006</v>
      </c>
      <c r="N50" s="62">
        <v>346.77</v>
      </c>
      <c r="O50" s="58">
        <f t="shared" si="8"/>
        <v>435.54311999999999</v>
      </c>
      <c r="P50" s="64" t="s">
        <v>777</v>
      </c>
      <c r="Q50" s="55"/>
      <c r="R50" s="63"/>
      <c r="S50" s="280" t="e">
        <f t="shared" si="9"/>
        <v>#REF!</v>
      </c>
      <c r="T50" s="281" t="e">
        <f t="shared" si="11"/>
        <v>#REF!</v>
      </c>
      <c r="U50" s="282" t="e">
        <f t="shared" si="10"/>
        <v>#REF!</v>
      </c>
      <c r="V50" s="63"/>
      <c r="W50" s="63"/>
      <c r="X50" s="63"/>
      <c r="Y50" s="63"/>
      <c r="Z50" s="63"/>
      <c r="AA50" s="63"/>
      <c r="AB50" s="63"/>
      <c r="AC50" s="63"/>
      <c r="AD50" s="63"/>
      <c r="AE50" s="63"/>
    </row>
    <row r="51" spans="1:31" ht="18" customHeight="1">
      <c r="A51" s="22" t="s">
        <v>363</v>
      </c>
      <c r="B51" s="119" t="s">
        <v>778</v>
      </c>
      <c r="C51" s="288" t="s">
        <v>779</v>
      </c>
      <c r="D51" s="150" t="s">
        <v>20</v>
      </c>
      <c r="E51" s="54" t="e">
        <f>ROUND(#REF!,2)</f>
        <v>#REF!</v>
      </c>
      <c r="F51" s="55">
        <f t="shared" si="0"/>
        <v>80.73</v>
      </c>
      <c r="G51" s="55">
        <f t="shared" si="1"/>
        <v>20.18</v>
      </c>
      <c r="H51" s="55" t="e">
        <f t="shared" si="2"/>
        <v>#REF!</v>
      </c>
      <c r="I51" s="55" t="e">
        <f t="shared" si="3"/>
        <v>#REF!</v>
      </c>
      <c r="J51" s="55" t="e">
        <f t="shared" si="4"/>
        <v>#REF!</v>
      </c>
      <c r="K51" s="56">
        <f t="shared" si="5"/>
        <v>100.91</v>
      </c>
      <c r="L51" s="53">
        <f t="shared" si="6"/>
        <v>80.725632000000019</v>
      </c>
      <c r="M51" s="53">
        <f t="shared" si="7"/>
        <v>20.181408000000005</v>
      </c>
      <c r="N51" s="147">
        <v>80.34</v>
      </c>
      <c r="O51" s="58">
        <f t="shared" si="8"/>
        <v>100.90704000000001</v>
      </c>
      <c r="P51" s="42" t="s">
        <v>780</v>
      </c>
      <c r="Q51" s="55"/>
      <c r="S51" s="280" t="e">
        <f t="shared" si="9"/>
        <v>#REF!</v>
      </c>
      <c r="T51" s="281" t="e">
        <f t="shared" si="11"/>
        <v>#REF!</v>
      </c>
      <c r="U51" s="282" t="e">
        <f t="shared" si="10"/>
        <v>#REF!</v>
      </c>
      <c r="V51" s="63"/>
      <c r="W51" s="63"/>
      <c r="X51" s="63"/>
      <c r="Y51" s="63"/>
      <c r="Z51" s="63"/>
      <c r="AA51" s="63"/>
      <c r="AB51" s="63"/>
      <c r="AC51" s="63"/>
      <c r="AD51" s="63"/>
      <c r="AE51" s="63"/>
    </row>
    <row r="52" spans="1:31" ht="26.45" customHeight="1">
      <c r="A52" s="22" t="s">
        <v>365</v>
      </c>
      <c r="B52" s="22" t="s">
        <v>781</v>
      </c>
      <c r="C52" s="288" t="s">
        <v>782</v>
      </c>
      <c r="D52" s="150" t="s">
        <v>20</v>
      </c>
      <c r="E52" s="54" t="e">
        <f>ROUND(#REF!,2)</f>
        <v>#REF!</v>
      </c>
      <c r="F52" s="55">
        <f t="shared" si="0"/>
        <v>72.650000000000006</v>
      </c>
      <c r="G52" s="55">
        <f t="shared" si="1"/>
        <v>18.16</v>
      </c>
      <c r="H52" s="55" t="e">
        <f t="shared" si="2"/>
        <v>#REF!</v>
      </c>
      <c r="I52" s="55" t="e">
        <f t="shared" si="3"/>
        <v>#REF!</v>
      </c>
      <c r="J52" s="55" t="e">
        <f t="shared" si="4"/>
        <v>#REF!</v>
      </c>
      <c r="K52" s="56">
        <f t="shared" si="5"/>
        <v>90.81</v>
      </c>
      <c r="L52" s="53">
        <f t="shared" si="6"/>
        <v>72.64703999999999</v>
      </c>
      <c r="M52" s="53">
        <f t="shared" si="7"/>
        <v>18.161759999999997</v>
      </c>
      <c r="N52" s="290">
        <v>72.3</v>
      </c>
      <c r="O52" s="291">
        <f t="shared" si="8"/>
        <v>90.808799999999991</v>
      </c>
      <c r="P52" s="289" t="s">
        <v>783</v>
      </c>
      <c r="Q52" s="287"/>
      <c r="S52" s="280" t="e">
        <f t="shared" si="9"/>
        <v>#REF!</v>
      </c>
      <c r="T52" s="281" t="e">
        <f t="shared" si="11"/>
        <v>#REF!</v>
      </c>
      <c r="U52" s="282" t="e">
        <f t="shared" si="10"/>
        <v>#REF!</v>
      </c>
      <c r="V52" s="63"/>
      <c r="W52" s="63"/>
      <c r="X52" s="63"/>
      <c r="Y52" s="63"/>
      <c r="Z52" s="63"/>
      <c r="AA52" s="63"/>
      <c r="AB52" s="63"/>
      <c r="AC52" s="63"/>
      <c r="AD52" s="63"/>
      <c r="AE52" s="63"/>
    </row>
    <row r="53" spans="1:31" ht="18.75">
      <c r="A53" s="22" t="s">
        <v>171</v>
      </c>
      <c r="B53" s="22" t="s">
        <v>172</v>
      </c>
      <c r="C53" s="22" t="s">
        <v>173</v>
      </c>
      <c r="D53" s="22" t="s">
        <v>174</v>
      </c>
      <c r="E53" s="54" t="e">
        <f>ROUND(#REF!,2)</f>
        <v>#REF!</v>
      </c>
      <c r="F53" s="55">
        <f t="shared" si="0"/>
        <v>3.1</v>
      </c>
      <c r="G53" s="55">
        <f t="shared" si="1"/>
        <v>0.78</v>
      </c>
      <c r="H53" s="55" t="e">
        <f t="shared" si="2"/>
        <v>#REF!</v>
      </c>
      <c r="I53" s="55" t="e">
        <f t="shared" si="3"/>
        <v>#REF!</v>
      </c>
      <c r="J53" s="55" t="e">
        <f t="shared" si="4"/>
        <v>#REF!</v>
      </c>
      <c r="K53" s="56">
        <f t="shared" si="5"/>
        <v>3.88</v>
      </c>
      <c r="L53" s="53">
        <f t="shared" si="6"/>
        <v>3.104832</v>
      </c>
      <c r="M53" s="53">
        <f t="shared" si="7"/>
        <v>0.77620800000000001</v>
      </c>
      <c r="N53" s="53">
        <v>3.09</v>
      </c>
      <c r="O53" s="58">
        <f t="shared" si="8"/>
        <v>3.88104</v>
      </c>
      <c r="P53" s="53" t="s">
        <v>405</v>
      </c>
      <c r="Q53" s="55">
        <v>1600.94</v>
      </c>
      <c r="R53" s="53"/>
      <c r="S53" s="280" t="e">
        <f t="shared" si="9"/>
        <v>#REF!</v>
      </c>
      <c r="T53" s="281" t="e">
        <f t="shared" si="11"/>
        <v>#REF!</v>
      </c>
      <c r="U53" s="282" t="e">
        <f t="shared" si="10"/>
        <v>#REF!</v>
      </c>
      <c r="V53" s="67"/>
      <c r="W53" s="67"/>
      <c r="X53" s="67"/>
      <c r="Y53" s="67"/>
      <c r="Z53" s="67"/>
      <c r="AA53" s="67"/>
      <c r="AB53" s="67"/>
      <c r="AC53" s="67"/>
      <c r="AD53" s="67"/>
      <c r="AE53" s="67"/>
    </row>
    <row r="54" spans="1:31" ht="27.6" customHeight="1">
      <c r="A54" s="22" t="s">
        <v>303</v>
      </c>
      <c r="B54" s="22" t="s">
        <v>188</v>
      </c>
      <c r="C54" s="22" t="s">
        <v>784</v>
      </c>
      <c r="D54" s="22" t="s">
        <v>47</v>
      </c>
      <c r="E54" s="54" t="e">
        <f>ROUND(#REF!,2)</f>
        <v>#REF!</v>
      </c>
      <c r="F54" s="55">
        <f t="shared" si="0"/>
        <v>1.19</v>
      </c>
      <c r="G54" s="55">
        <f t="shared" si="1"/>
        <v>0.3</v>
      </c>
      <c r="H54" s="55" t="e">
        <f t="shared" si="2"/>
        <v>#REF!</v>
      </c>
      <c r="I54" s="55" t="e">
        <f t="shared" si="3"/>
        <v>#REF!</v>
      </c>
      <c r="J54" s="55" t="e">
        <f t="shared" si="4"/>
        <v>#REF!</v>
      </c>
      <c r="K54" s="56">
        <f t="shared" si="5"/>
        <v>1.49</v>
      </c>
      <c r="L54" s="53">
        <f t="shared" si="6"/>
        <v>1.1906880000000002</v>
      </c>
      <c r="M54" s="53">
        <f t="shared" si="7"/>
        <v>0.29767200000000005</v>
      </c>
      <c r="N54" s="62">
        <f t="shared" ref="N54:N55" si="12">0.79*1.5</f>
        <v>1.1850000000000001</v>
      </c>
      <c r="O54" s="58">
        <f t="shared" si="8"/>
        <v>1.4883600000000001</v>
      </c>
      <c r="P54" s="64" t="s">
        <v>785</v>
      </c>
      <c r="Q54" s="55">
        <v>756.77759999999989</v>
      </c>
      <c r="R54" s="63"/>
      <c r="S54" s="280" t="e">
        <f t="shared" si="9"/>
        <v>#REF!</v>
      </c>
      <c r="T54" s="281" t="e">
        <f t="shared" si="11"/>
        <v>#REF!</v>
      </c>
      <c r="U54" s="282" t="e">
        <f t="shared" si="10"/>
        <v>#REF!</v>
      </c>
      <c r="V54" s="57"/>
      <c r="W54" s="57"/>
      <c r="X54" s="57"/>
      <c r="Y54" s="57"/>
      <c r="Z54" s="57"/>
      <c r="AA54" s="57"/>
      <c r="AB54" s="57"/>
      <c r="AC54" s="57"/>
      <c r="AD54" s="57"/>
      <c r="AE54" s="57"/>
    </row>
    <row r="55" spans="1:31" ht="25.5">
      <c r="A55" s="22" t="s">
        <v>294</v>
      </c>
      <c r="B55" s="22" t="s">
        <v>188</v>
      </c>
      <c r="C55" s="22" t="s">
        <v>189</v>
      </c>
      <c r="D55" s="22" t="s">
        <v>47</v>
      </c>
      <c r="E55" s="54" t="e">
        <f>ROUND(#REF!,2)</f>
        <v>#REF!</v>
      </c>
      <c r="F55" s="55">
        <f t="shared" si="0"/>
        <v>1.19</v>
      </c>
      <c r="G55" s="55">
        <f t="shared" si="1"/>
        <v>0.3</v>
      </c>
      <c r="H55" s="55" t="e">
        <f t="shared" si="2"/>
        <v>#REF!</v>
      </c>
      <c r="I55" s="55" t="e">
        <f t="shared" si="3"/>
        <v>#REF!</v>
      </c>
      <c r="J55" s="55" t="e">
        <f t="shared" si="4"/>
        <v>#REF!</v>
      </c>
      <c r="K55" s="56">
        <f t="shared" si="5"/>
        <v>1.49</v>
      </c>
      <c r="L55" s="53">
        <f t="shared" si="6"/>
        <v>1.1906880000000002</v>
      </c>
      <c r="M55" s="53">
        <f t="shared" si="7"/>
        <v>0.29767200000000005</v>
      </c>
      <c r="N55" s="62">
        <f t="shared" si="12"/>
        <v>1.1850000000000001</v>
      </c>
      <c r="O55" s="58">
        <f t="shared" si="8"/>
        <v>1.4883600000000001</v>
      </c>
      <c r="P55" s="64" t="s">
        <v>785</v>
      </c>
      <c r="Q55" s="55">
        <v>1009.0368</v>
      </c>
      <c r="R55" s="63"/>
      <c r="S55" s="280" t="e">
        <f t="shared" si="9"/>
        <v>#REF!</v>
      </c>
      <c r="T55" s="281" t="e">
        <f t="shared" si="11"/>
        <v>#REF!</v>
      </c>
      <c r="U55" s="282" t="e">
        <f t="shared" si="10"/>
        <v>#REF!</v>
      </c>
      <c r="V55" s="57"/>
      <c r="W55" s="57"/>
      <c r="X55" s="57"/>
      <c r="Y55" s="57"/>
      <c r="Z55" s="57"/>
      <c r="AA55" s="57"/>
      <c r="AB55" s="57"/>
      <c r="AC55" s="57"/>
      <c r="AD55" s="57"/>
      <c r="AE55" s="57"/>
    </row>
    <row r="56" spans="1:31" ht="18.75">
      <c r="A56" s="18">
        <v>2</v>
      </c>
      <c r="B56" s="18"/>
      <c r="C56" s="18" t="s">
        <v>37</v>
      </c>
      <c r="D56" s="18"/>
      <c r="E56" s="292"/>
      <c r="F56" s="138"/>
      <c r="G56" s="138"/>
      <c r="H56" s="138"/>
      <c r="I56" s="138"/>
      <c r="J56" s="138"/>
      <c r="K56" s="56">
        <f t="shared" si="5"/>
        <v>0</v>
      </c>
      <c r="L56" s="53"/>
      <c r="M56" s="53"/>
      <c r="N56" s="53"/>
      <c r="O56" s="58"/>
      <c r="P56" s="60"/>
      <c r="Q56" s="138"/>
      <c r="R56" s="53"/>
      <c r="S56" s="280"/>
      <c r="T56" s="281"/>
      <c r="U56" s="293"/>
      <c r="V56" s="67"/>
      <c r="W56" s="67"/>
      <c r="X56" s="67"/>
      <c r="Y56" s="67"/>
      <c r="Z56" s="67"/>
      <c r="AA56" s="67"/>
      <c r="AB56" s="67"/>
      <c r="AC56" s="67"/>
      <c r="AD56" s="67"/>
      <c r="AE56" s="67"/>
    </row>
    <row r="57" spans="1:31" ht="18.75">
      <c r="A57" s="18">
        <v>3</v>
      </c>
      <c r="B57" s="18"/>
      <c r="C57" s="19" t="s">
        <v>176</v>
      </c>
      <c r="D57" s="18"/>
      <c r="E57" s="292"/>
      <c r="F57" s="138"/>
      <c r="G57" s="138"/>
      <c r="H57" s="138"/>
      <c r="I57" s="138"/>
      <c r="J57" s="138"/>
      <c r="K57" s="56"/>
      <c r="L57" s="53"/>
      <c r="M57" s="53"/>
      <c r="N57" s="52"/>
      <c r="O57" s="58"/>
      <c r="P57" s="53"/>
      <c r="Q57" s="138"/>
      <c r="R57" s="52"/>
      <c r="S57" s="280"/>
      <c r="T57" s="281"/>
    </row>
    <row r="58" spans="1:31" ht="27.6" customHeight="1">
      <c r="A58" s="18">
        <v>4</v>
      </c>
      <c r="B58" s="18"/>
      <c r="C58" s="18" t="s">
        <v>196</v>
      </c>
      <c r="D58" s="18"/>
      <c r="E58" s="292"/>
      <c r="F58" s="138"/>
      <c r="G58" s="138"/>
      <c r="H58" s="138"/>
      <c r="I58" s="138"/>
      <c r="J58" s="138"/>
      <c r="K58" s="56"/>
      <c r="L58" s="53"/>
      <c r="M58" s="53"/>
      <c r="N58" s="62"/>
      <c r="O58" s="58"/>
      <c r="P58" s="63"/>
      <c r="Q58" s="61"/>
      <c r="R58" s="63"/>
      <c r="S58" s="280"/>
      <c r="T58" s="281"/>
    </row>
    <row r="59" spans="1:31" ht="18" customHeight="1">
      <c r="A59" s="113">
        <v>5</v>
      </c>
      <c r="B59" s="18"/>
      <c r="C59" s="18" t="s">
        <v>217</v>
      </c>
      <c r="D59" s="18"/>
      <c r="E59" s="292"/>
      <c r="F59" s="138"/>
      <c r="G59" s="138"/>
      <c r="H59" s="138"/>
      <c r="I59" s="138"/>
      <c r="J59" s="138"/>
      <c r="K59" s="56">
        <f>F59+G59</f>
        <v>0</v>
      </c>
      <c r="L59" s="53">
        <f>O59*0.8</f>
        <v>0</v>
      </c>
      <c r="M59" s="53">
        <f>O59*0.2</f>
        <v>0</v>
      </c>
      <c r="N59" s="62"/>
      <c r="O59" s="58"/>
      <c r="P59" s="63"/>
      <c r="Q59" s="61"/>
      <c r="R59" s="63"/>
      <c r="S59" s="294"/>
      <c r="T59" s="281"/>
    </row>
    <row r="60" spans="1:31" ht="18" customHeight="1">
      <c r="A60" s="113">
        <v>6</v>
      </c>
      <c r="B60" s="18"/>
      <c r="C60" s="18" t="s">
        <v>287</v>
      </c>
      <c r="D60" s="18"/>
      <c r="E60" s="292"/>
      <c r="F60" s="138"/>
      <c r="G60" s="138"/>
      <c r="H60" s="138"/>
      <c r="I60" s="138"/>
      <c r="J60" s="138"/>
      <c r="K60" s="56"/>
      <c r="L60" s="53"/>
      <c r="M60" s="53"/>
      <c r="N60" s="67"/>
      <c r="O60" s="58">
        <f t="shared" ref="O60:O62" si="13">N60*1.256</f>
        <v>0</v>
      </c>
      <c r="P60" s="67"/>
      <c r="Q60" s="61"/>
      <c r="R60" s="67"/>
      <c r="S60" s="280"/>
      <c r="T60" s="281"/>
    </row>
    <row r="61" spans="1:31" ht="18" customHeight="1">
      <c r="A61" s="113">
        <v>7</v>
      </c>
      <c r="B61" s="18"/>
      <c r="C61" s="18" t="s">
        <v>80</v>
      </c>
      <c r="D61" s="18"/>
      <c r="E61" s="292"/>
      <c r="F61" s="138"/>
      <c r="G61" s="138"/>
      <c r="H61" s="138"/>
      <c r="I61" s="138"/>
      <c r="J61" s="138"/>
      <c r="K61" s="56">
        <f t="shared" ref="K61:K62" si="14">F61+G61</f>
        <v>0</v>
      </c>
      <c r="L61" s="53">
        <f t="shared" ref="L61:L62" si="15">O61*0.8</f>
        <v>0</v>
      </c>
      <c r="M61" s="53">
        <f t="shared" ref="M61:M62" si="16">O61*0.2</f>
        <v>0</v>
      </c>
      <c r="N61" s="67"/>
      <c r="O61" s="58">
        <f t="shared" si="13"/>
        <v>0</v>
      </c>
      <c r="P61" s="67" t="s">
        <v>448</v>
      </c>
      <c r="Q61" s="61"/>
      <c r="R61" s="67"/>
      <c r="S61" s="280"/>
      <c r="T61" s="281"/>
    </row>
    <row r="62" spans="1:31" ht="18" customHeight="1">
      <c r="A62" s="113">
        <v>8</v>
      </c>
      <c r="B62" s="18"/>
      <c r="C62" s="18" t="s">
        <v>378</v>
      </c>
      <c r="D62" s="18"/>
      <c r="E62" s="292"/>
      <c r="F62" s="138"/>
      <c r="G62" s="138"/>
      <c r="H62" s="138"/>
      <c r="I62" s="138"/>
      <c r="J62" s="138"/>
      <c r="K62" s="56">
        <f t="shared" si="14"/>
        <v>0</v>
      </c>
      <c r="L62" s="53">
        <f t="shared" si="15"/>
        <v>0</v>
      </c>
      <c r="M62" s="53">
        <f t="shared" si="16"/>
        <v>0</v>
      </c>
      <c r="N62" s="67"/>
      <c r="O62" s="58">
        <f t="shared" si="13"/>
        <v>0</v>
      </c>
      <c r="P62" s="67"/>
      <c r="Q62" s="61"/>
      <c r="R62" s="67"/>
      <c r="S62" s="280"/>
      <c r="T62" s="281"/>
    </row>
    <row r="63" spans="1:31" ht="18.75">
      <c r="A63" s="151"/>
      <c r="B63" s="152"/>
      <c r="C63" s="22"/>
      <c r="D63" s="22"/>
      <c r="E63" s="153"/>
      <c r="F63" s="151"/>
      <c r="G63" s="77"/>
      <c r="H63" s="73"/>
      <c r="I63" s="73"/>
      <c r="J63" s="73"/>
    </row>
    <row r="64" spans="1:31" ht="18.75">
      <c r="A64" s="69"/>
      <c r="B64" s="75"/>
      <c r="C64" s="77" t="s">
        <v>101</v>
      </c>
      <c r="D64" s="69"/>
      <c r="E64" s="72"/>
      <c r="F64" s="69"/>
      <c r="G64" s="77" t="s">
        <v>102</v>
      </c>
      <c r="H64" s="73" t="e">
        <f>ROUND(SUM(H12:H62),2)</f>
        <v>#REF!</v>
      </c>
      <c r="I64" s="73" t="e">
        <f>ROUND(SUM(I12:I62),2)</f>
        <v>#REF!</v>
      </c>
      <c r="J64" s="73" t="e">
        <f>ROUND(SUM(J12:J62),2)</f>
        <v>#REF!</v>
      </c>
    </row>
    <row r="65" spans="1:31" ht="18.75">
      <c r="A65" s="79"/>
      <c r="B65" s="80"/>
      <c r="C65" s="77" t="s">
        <v>786</v>
      </c>
      <c r="D65" s="81"/>
      <c r="E65" s="82"/>
      <c r="F65" s="81"/>
      <c r="G65" s="76"/>
      <c r="H65" s="83"/>
      <c r="I65" s="83"/>
      <c r="J65" s="83"/>
    </row>
    <row r="66" spans="1:31" ht="25.5" customHeight="1">
      <c r="A66" s="70"/>
      <c r="B66" s="84"/>
      <c r="C66" s="77" t="s">
        <v>454</v>
      </c>
      <c r="D66" s="85"/>
      <c r="E66" s="86"/>
      <c r="F66" s="70"/>
      <c r="G66" s="76"/>
      <c r="H66" s="83"/>
      <c r="I66" s="70"/>
      <c r="J66" s="70"/>
    </row>
    <row r="67" spans="1:31" ht="18.75">
      <c r="A67" s="70"/>
      <c r="B67" s="84"/>
      <c r="C67" s="77" t="s">
        <v>787</v>
      </c>
      <c r="D67" s="85"/>
      <c r="E67" s="86"/>
      <c r="F67" s="70"/>
      <c r="G67" s="70"/>
      <c r="H67" s="70"/>
      <c r="I67" s="70"/>
      <c r="J67" s="70"/>
      <c r="P67" s="65"/>
    </row>
    <row r="68" spans="1:31" ht="18.75">
      <c r="A68" s="87"/>
      <c r="B68" s="87"/>
      <c r="C68" s="77" t="s">
        <v>105</v>
      </c>
      <c r="D68" s="88"/>
      <c r="E68" s="89"/>
      <c r="F68" s="87"/>
      <c r="G68" s="87"/>
      <c r="H68" s="90"/>
      <c r="I68" s="90"/>
      <c r="J68" s="90"/>
      <c r="L68"/>
      <c r="M68"/>
      <c r="N68"/>
      <c r="O68"/>
      <c r="P68"/>
      <c r="Q68"/>
      <c r="R68"/>
      <c r="S68" s="295"/>
      <c r="T68"/>
      <c r="U68" s="296"/>
      <c r="V68"/>
      <c r="W68"/>
      <c r="X68"/>
      <c r="Y68"/>
      <c r="Z68"/>
      <c r="AA68"/>
      <c r="AB68"/>
      <c r="AC68"/>
      <c r="AD68"/>
      <c r="AE68"/>
    </row>
    <row r="69" spans="1:31">
      <c r="C69" s="156" t="s">
        <v>457</v>
      </c>
      <c r="H69" s="97"/>
      <c r="I69" s="98"/>
      <c r="J69" s="98"/>
      <c r="L69"/>
      <c r="M69"/>
      <c r="N69"/>
      <c r="O69"/>
      <c r="P69"/>
      <c r="Q69"/>
      <c r="R69"/>
      <c r="S69" s="295"/>
      <c r="T69"/>
      <c r="U69" s="296"/>
      <c r="V69"/>
      <c r="W69"/>
      <c r="X69"/>
      <c r="Y69"/>
      <c r="Z69"/>
      <c r="AA69"/>
      <c r="AB69"/>
      <c r="AC69"/>
      <c r="AD69"/>
      <c r="AE69"/>
    </row>
    <row r="70" spans="1:31" hidden="1">
      <c r="H70" s="97"/>
      <c r="I70" s="98"/>
      <c r="J70" s="98"/>
      <c r="L70"/>
      <c r="M70"/>
      <c r="N70"/>
      <c r="O70"/>
      <c r="P70"/>
      <c r="Q70"/>
      <c r="R70"/>
      <c r="S70" s="295"/>
      <c r="T70"/>
      <c r="U70" s="296"/>
      <c r="V70"/>
      <c r="W70"/>
      <c r="X70"/>
      <c r="Y70"/>
      <c r="Z70"/>
      <c r="AA70"/>
      <c r="AB70"/>
      <c r="AC70"/>
      <c r="AD70"/>
      <c r="AE70"/>
    </row>
    <row r="71" spans="1:31" hidden="1">
      <c r="L71"/>
      <c r="M71"/>
      <c r="N71"/>
      <c r="O71"/>
      <c r="P71"/>
      <c r="Q71"/>
      <c r="R71"/>
      <c r="S71" s="295"/>
      <c r="T71"/>
      <c r="U71" s="296"/>
      <c r="V71"/>
      <c r="W71"/>
      <c r="X71"/>
      <c r="Y71"/>
      <c r="Z71"/>
      <c r="AA71"/>
      <c r="AB71"/>
      <c r="AC71"/>
      <c r="AD71"/>
      <c r="AE71"/>
    </row>
    <row r="72" spans="1:31" hidden="1">
      <c r="A72" t="s">
        <v>106</v>
      </c>
      <c r="I72" t="e">
        <f>I65/J65</f>
        <v>#DIV/0!</v>
      </c>
      <c r="L72"/>
      <c r="M72"/>
      <c r="N72"/>
      <c r="O72"/>
      <c r="P72"/>
      <c r="Q72"/>
      <c r="R72"/>
      <c r="S72" s="295"/>
      <c r="T72"/>
      <c r="U72" s="296"/>
      <c r="V72"/>
      <c r="W72"/>
      <c r="X72"/>
      <c r="Y72"/>
      <c r="Z72"/>
      <c r="AA72"/>
      <c r="AB72"/>
      <c r="AC72"/>
      <c r="AD72"/>
      <c r="AE72"/>
    </row>
    <row r="73" spans="1:31" hidden="1">
      <c r="A73" t="s">
        <v>107</v>
      </c>
      <c r="L73"/>
      <c r="M73"/>
      <c r="N73"/>
      <c r="O73"/>
      <c r="P73"/>
      <c r="Q73"/>
      <c r="R73"/>
      <c r="S73" s="295"/>
      <c r="T73"/>
      <c r="U73" s="296"/>
      <c r="V73"/>
      <c r="W73"/>
      <c r="X73"/>
      <c r="Y73"/>
      <c r="Z73"/>
      <c r="AA73"/>
      <c r="AB73"/>
      <c r="AC73"/>
      <c r="AD73"/>
      <c r="AE73"/>
    </row>
    <row r="74" spans="1:31" hidden="1">
      <c r="A74" s="4" t="s">
        <v>108</v>
      </c>
      <c r="L74"/>
      <c r="M74"/>
      <c r="N74"/>
      <c r="O74"/>
      <c r="P74"/>
      <c r="Q74"/>
      <c r="R74"/>
      <c r="S74" s="295"/>
      <c r="T74"/>
      <c r="U74" s="296"/>
      <c r="V74"/>
      <c r="W74"/>
      <c r="X74"/>
      <c r="Y74"/>
      <c r="Z74"/>
      <c r="AA74"/>
      <c r="AB74"/>
      <c r="AC74"/>
      <c r="AD74"/>
      <c r="AE74"/>
    </row>
    <row r="75" spans="1:31" hidden="1">
      <c r="A75" s="4" t="s">
        <v>109</v>
      </c>
      <c r="L75"/>
      <c r="M75"/>
      <c r="N75"/>
      <c r="O75"/>
      <c r="P75"/>
      <c r="Q75"/>
      <c r="R75"/>
      <c r="S75" s="295"/>
      <c r="T75"/>
      <c r="U75" s="296"/>
      <c r="V75"/>
      <c r="W75"/>
      <c r="X75"/>
      <c r="Y75"/>
      <c r="Z75"/>
      <c r="AA75"/>
      <c r="AB75"/>
      <c r="AC75"/>
      <c r="AD75"/>
      <c r="AE75"/>
    </row>
    <row r="76" spans="1:31" hidden="1">
      <c r="L76"/>
      <c r="M76"/>
      <c r="N76"/>
      <c r="O76"/>
      <c r="P76"/>
      <c r="Q76"/>
      <c r="R76"/>
      <c r="S76" s="295"/>
      <c r="T76"/>
      <c r="U76" s="296"/>
      <c r="V76"/>
      <c r="W76"/>
      <c r="X76"/>
      <c r="Y76"/>
      <c r="Z76"/>
      <c r="AA76"/>
      <c r="AB76"/>
      <c r="AC76"/>
      <c r="AD76"/>
      <c r="AE76"/>
    </row>
    <row r="77" spans="1:31" hidden="1">
      <c r="A77" s="4" t="s">
        <v>110</v>
      </c>
      <c r="L77"/>
      <c r="M77"/>
      <c r="N77"/>
      <c r="O77"/>
      <c r="P77"/>
      <c r="Q77"/>
      <c r="R77"/>
      <c r="S77" s="295"/>
      <c r="T77"/>
      <c r="U77" s="296"/>
      <c r="V77"/>
      <c r="W77"/>
      <c r="X77"/>
      <c r="Y77"/>
      <c r="Z77"/>
      <c r="AA77"/>
      <c r="AB77"/>
      <c r="AC77"/>
      <c r="AD77"/>
      <c r="AE77"/>
    </row>
    <row r="78" spans="1:31" hidden="1">
      <c r="A78" t="s">
        <v>111</v>
      </c>
      <c r="L78"/>
      <c r="M78"/>
      <c r="N78"/>
      <c r="O78"/>
      <c r="P78"/>
      <c r="Q78"/>
      <c r="R78"/>
      <c r="S78" s="295"/>
      <c r="T78"/>
      <c r="U78" s="296"/>
      <c r="V78"/>
      <c r="W78"/>
      <c r="X78"/>
      <c r="Y78"/>
      <c r="Z78"/>
      <c r="AA78"/>
      <c r="AB78"/>
      <c r="AC78"/>
      <c r="AD78"/>
      <c r="AE78"/>
    </row>
    <row r="79" spans="1:31" hidden="1">
      <c r="A79" t="s">
        <v>112</v>
      </c>
      <c r="L79"/>
      <c r="M79"/>
      <c r="N79"/>
      <c r="O79"/>
      <c r="P79"/>
      <c r="Q79"/>
      <c r="R79"/>
      <c r="S79" s="295"/>
      <c r="T79"/>
      <c r="U79" s="296"/>
      <c r="V79"/>
      <c r="W79"/>
      <c r="X79"/>
      <c r="Y79"/>
      <c r="Z79"/>
      <c r="AA79"/>
      <c r="AB79"/>
      <c r="AC79"/>
      <c r="AD79"/>
      <c r="AE79"/>
    </row>
    <row r="80" spans="1:31" hidden="1">
      <c r="A80" t="s">
        <v>113</v>
      </c>
      <c r="L80"/>
      <c r="M80"/>
      <c r="N80"/>
      <c r="O80"/>
      <c r="P80"/>
      <c r="Q80"/>
      <c r="R80"/>
      <c r="S80" s="295"/>
      <c r="T80"/>
      <c r="U80" s="296"/>
      <c r="V80"/>
      <c r="W80"/>
      <c r="X80"/>
      <c r="Y80"/>
      <c r="Z80"/>
      <c r="AA80"/>
      <c r="AB80"/>
      <c r="AC80"/>
      <c r="AD80"/>
      <c r="AE80"/>
    </row>
    <row r="81" spans="1:31" hidden="1">
      <c r="L81"/>
      <c r="M81"/>
      <c r="N81"/>
      <c r="O81"/>
      <c r="P81"/>
      <c r="Q81"/>
      <c r="R81"/>
      <c r="S81" s="295"/>
      <c r="T81"/>
      <c r="U81" s="296"/>
      <c r="V81"/>
      <c r="W81"/>
      <c r="X81"/>
      <c r="Y81"/>
      <c r="Z81"/>
      <c r="AA81"/>
      <c r="AB81"/>
      <c r="AC81"/>
      <c r="AD81"/>
      <c r="AE81"/>
    </row>
    <row r="82" spans="1:31" hidden="1">
      <c r="A82" t="s">
        <v>114</v>
      </c>
      <c r="L82"/>
      <c r="M82"/>
      <c r="N82"/>
      <c r="O82"/>
      <c r="P82"/>
      <c r="Q82"/>
      <c r="R82"/>
      <c r="S82" s="295"/>
      <c r="T82"/>
      <c r="U82" s="296"/>
      <c r="V82"/>
      <c r="W82"/>
      <c r="X82"/>
      <c r="Y82"/>
      <c r="Z82"/>
      <c r="AA82"/>
      <c r="AB82"/>
      <c r="AC82"/>
      <c r="AD82"/>
      <c r="AE82"/>
    </row>
    <row r="83" spans="1:31" hidden="1">
      <c r="A83" t="s">
        <v>115</v>
      </c>
      <c r="L83"/>
      <c r="M83"/>
      <c r="N83"/>
      <c r="O83"/>
      <c r="P83"/>
      <c r="Q83"/>
      <c r="R83"/>
      <c r="S83" s="295"/>
      <c r="T83"/>
      <c r="U83" s="296"/>
      <c r="V83"/>
      <c r="W83"/>
      <c r="X83"/>
      <c r="Y83"/>
      <c r="Z83"/>
      <c r="AA83"/>
      <c r="AB83"/>
      <c r="AC83"/>
      <c r="AD83"/>
      <c r="AE83"/>
    </row>
    <row r="84" spans="1:31" ht="15" hidden="1">
      <c r="A84" t="s">
        <v>116</v>
      </c>
      <c r="B84"/>
      <c r="C84"/>
      <c r="D84"/>
      <c r="L84"/>
      <c r="M84"/>
      <c r="N84"/>
      <c r="O84"/>
      <c r="P84"/>
      <c r="Q84"/>
      <c r="R84"/>
      <c r="S84" s="295"/>
      <c r="T84"/>
      <c r="U84" s="296"/>
      <c r="V84"/>
      <c r="W84"/>
      <c r="X84"/>
      <c r="Y84"/>
      <c r="Z84"/>
      <c r="AA84"/>
      <c r="AB84"/>
      <c r="AC84"/>
      <c r="AD84"/>
      <c r="AE84"/>
    </row>
    <row r="85" spans="1:31" ht="15" hidden="1">
      <c r="B85"/>
      <c r="C85"/>
      <c r="D85"/>
      <c r="L85"/>
      <c r="M85"/>
      <c r="N85"/>
      <c r="O85"/>
      <c r="P85"/>
      <c r="Q85"/>
      <c r="R85"/>
      <c r="S85" s="295"/>
      <c r="T85"/>
      <c r="U85" s="296"/>
      <c r="V85"/>
      <c r="W85"/>
      <c r="X85"/>
      <c r="Y85"/>
      <c r="Z85"/>
      <c r="AA85"/>
      <c r="AB85"/>
      <c r="AC85"/>
      <c r="AD85"/>
      <c r="AE85"/>
    </row>
    <row r="86" spans="1:31" ht="15" hidden="1">
      <c r="A86" t="s">
        <v>117</v>
      </c>
      <c r="B86"/>
      <c r="C86"/>
      <c r="D86"/>
      <c r="L86"/>
      <c r="M86"/>
      <c r="N86"/>
      <c r="O86"/>
      <c r="P86"/>
      <c r="Q86"/>
      <c r="R86"/>
      <c r="S86" s="295"/>
      <c r="T86"/>
      <c r="U86" s="296"/>
      <c r="V86"/>
      <c r="W86"/>
      <c r="X86"/>
      <c r="Y86"/>
      <c r="Z86"/>
      <c r="AA86"/>
      <c r="AB86"/>
      <c r="AC86"/>
      <c r="AD86"/>
      <c r="AE86"/>
    </row>
    <row r="87" spans="1:31" ht="15" hidden="1">
      <c r="A87" t="s">
        <v>118</v>
      </c>
      <c r="B87"/>
      <c r="C87"/>
      <c r="D87"/>
      <c r="L87"/>
      <c r="M87"/>
      <c r="N87"/>
      <c r="O87"/>
      <c r="P87"/>
      <c r="Q87"/>
      <c r="R87"/>
      <c r="S87" s="295"/>
      <c r="T87"/>
      <c r="U87" s="296"/>
      <c r="V87"/>
      <c r="W87"/>
      <c r="X87"/>
      <c r="Y87"/>
      <c r="Z87"/>
      <c r="AA87"/>
      <c r="AB87"/>
      <c r="AC87"/>
      <c r="AD87"/>
      <c r="AE87"/>
    </row>
    <row r="88" spans="1:31" ht="15" hidden="1">
      <c r="A88" t="s">
        <v>119</v>
      </c>
      <c r="B88"/>
      <c r="C88"/>
      <c r="D88"/>
      <c r="L88"/>
      <c r="M88"/>
      <c r="N88"/>
      <c r="O88"/>
      <c r="P88"/>
      <c r="Q88"/>
      <c r="R88"/>
      <c r="S88" s="295"/>
      <c r="T88"/>
      <c r="U88" s="296"/>
      <c r="V88"/>
      <c r="W88"/>
      <c r="X88"/>
      <c r="Y88"/>
      <c r="Z88"/>
      <c r="AA88"/>
      <c r="AB88"/>
      <c r="AC88"/>
      <c r="AD88"/>
      <c r="AE88"/>
    </row>
    <row r="89" spans="1:31" ht="15" hidden="1">
      <c r="A89" t="s">
        <v>120</v>
      </c>
      <c r="B89"/>
      <c r="C89"/>
      <c r="D89"/>
      <c r="L89"/>
      <c r="M89"/>
      <c r="N89"/>
      <c r="O89"/>
      <c r="P89"/>
      <c r="Q89"/>
      <c r="R89"/>
      <c r="S89" s="295"/>
      <c r="T89"/>
      <c r="U89" s="296"/>
      <c r="V89"/>
      <c r="W89"/>
      <c r="X89"/>
      <c r="Y89"/>
      <c r="Z89"/>
      <c r="AA89"/>
      <c r="AB89"/>
      <c r="AC89"/>
      <c r="AD89"/>
      <c r="AE89"/>
    </row>
    <row r="90" spans="1:31" ht="15" hidden="1">
      <c r="A90" t="s">
        <v>121</v>
      </c>
      <c r="B90"/>
      <c r="C90"/>
      <c r="D90"/>
      <c r="L90"/>
      <c r="M90"/>
      <c r="N90"/>
      <c r="O90"/>
      <c r="P90"/>
      <c r="Q90"/>
      <c r="R90"/>
      <c r="S90" s="295"/>
      <c r="T90"/>
      <c r="U90" s="296"/>
      <c r="V90"/>
      <c r="W90"/>
      <c r="X90"/>
      <c r="Y90"/>
      <c r="Z90"/>
      <c r="AA90"/>
      <c r="AB90"/>
      <c r="AC90"/>
      <c r="AD90"/>
      <c r="AE90"/>
    </row>
    <row r="91" spans="1:31" ht="15" hidden="1">
      <c r="B91"/>
      <c r="C91"/>
      <c r="D91"/>
      <c r="L91"/>
      <c r="M91"/>
      <c r="N91"/>
      <c r="O91"/>
      <c r="P91"/>
      <c r="Q91"/>
      <c r="R91"/>
      <c r="S91" s="295"/>
      <c r="T91"/>
      <c r="U91" s="296"/>
      <c r="V91"/>
      <c r="W91"/>
      <c r="X91"/>
      <c r="Y91"/>
      <c r="Z91"/>
      <c r="AA91"/>
      <c r="AB91"/>
      <c r="AC91"/>
      <c r="AD91"/>
      <c r="AE91"/>
    </row>
    <row r="92" spans="1:31" ht="15" hidden="1">
      <c r="A92" t="s">
        <v>122</v>
      </c>
      <c r="B92"/>
      <c r="C92"/>
      <c r="D92"/>
      <c r="L92"/>
      <c r="M92"/>
      <c r="N92"/>
      <c r="O92"/>
      <c r="P92"/>
      <c r="Q92"/>
      <c r="R92"/>
      <c r="S92" s="295"/>
      <c r="T92"/>
      <c r="U92" s="296"/>
      <c r="V92"/>
      <c r="W92"/>
      <c r="X92"/>
      <c r="Y92"/>
      <c r="Z92"/>
      <c r="AA92"/>
      <c r="AB92"/>
      <c r="AC92"/>
      <c r="AD92"/>
      <c r="AE92"/>
    </row>
    <row r="93" spans="1:31" ht="15" hidden="1">
      <c r="A93" t="s">
        <v>123</v>
      </c>
      <c r="B93"/>
      <c r="C93"/>
      <c r="D93"/>
      <c r="L93"/>
      <c r="M93"/>
      <c r="N93"/>
      <c r="O93"/>
      <c r="P93"/>
      <c r="Q93"/>
      <c r="R93"/>
      <c r="S93" s="295"/>
      <c r="T93"/>
      <c r="U93" s="296"/>
      <c r="V93"/>
      <c r="W93"/>
      <c r="X93"/>
      <c r="Y93"/>
      <c r="Z93"/>
      <c r="AA93"/>
      <c r="AB93"/>
      <c r="AC93"/>
      <c r="AD93"/>
      <c r="AE93"/>
    </row>
    <row r="94" spans="1:31" ht="15" hidden="1">
      <c r="B94"/>
      <c r="C94"/>
      <c r="D94"/>
      <c r="L94"/>
      <c r="M94"/>
      <c r="N94"/>
      <c r="O94"/>
      <c r="P94"/>
      <c r="Q94"/>
      <c r="R94"/>
      <c r="S94" s="295"/>
      <c r="T94"/>
      <c r="U94" s="296"/>
      <c r="V94"/>
      <c r="W94"/>
      <c r="X94"/>
      <c r="Y94"/>
      <c r="Z94"/>
      <c r="AA94"/>
      <c r="AB94"/>
      <c r="AC94"/>
      <c r="AD94"/>
      <c r="AE94"/>
    </row>
    <row r="95" spans="1:31" ht="15" hidden="1">
      <c r="A95" t="s">
        <v>124</v>
      </c>
      <c r="B95"/>
      <c r="C95"/>
      <c r="D95"/>
      <c r="L95"/>
      <c r="M95"/>
      <c r="N95"/>
      <c r="O95"/>
      <c r="P95"/>
      <c r="Q95"/>
      <c r="R95"/>
      <c r="S95" s="295"/>
      <c r="T95"/>
      <c r="U95" s="296"/>
      <c r="V95"/>
      <c r="W95"/>
      <c r="X95"/>
      <c r="Y95"/>
      <c r="Z95"/>
      <c r="AA95"/>
      <c r="AB95"/>
      <c r="AC95"/>
      <c r="AD95"/>
      <c r="AE95"/>
    </row>
    <row r="96" spans="1:31" ht="15" hidden="1">
      <c r="A96" t="s">
        <v>125</v>
      </c>
      <c r="B96"/>
      <c r="C96"/>
      <c r="D96"/>
      <c r="L96"/>
      <c r="M96"/>
      <c r="N96"/>
      <c r="O96"/>
      <c r="P96"/>
      <c r="Q96"/>
      <c r="R96"/>
      <c r="S96" s="295"/>
      <c r="T96"/>
      <c r="U96" s="296"/>
      <c r="V96"/>
      <c r="W96"/>
      <c r="X96"/>
      <c r="Y96"/>
      <c r="Z96"/>
      <c r="AA96"/>
      <c r="AB96"/>
      <c r="AC96"/>
      <c r="AD96"/>
      <c r="AE96"/>
    </row>
    <row r="97" spans="1:31" ht="15" hidden="1">
      <c r="A97" t="s">
        <v>126</v>
      </c>
      <c r="B97"/>
      <c r="C97"/>
      <c r="D97"/>
      <c r="L97"/>
      <c r="M97"/>
      <c r="N97"/>
      <c r="O97"/>
      <c r="P97"/>
      <c r="Q97"/>
      <c r="R97"/>
      <c r="S97" s="295"/>
      <c r="T97"/>
      <c r="U97" s="296"/>
      <c r="V97"/>
      <c r="W97"/>
      <c r="X97"/>
      <c r="Y97"/>
      <c r="Z97"/>
      <c r="AA97"/>
      <c r="AB97"/>
      <c r="AC97"/>
      <c r="AD97"/>
      <c r="AE97"/>
    </row>
    <row r="98" spans="1:31" ht="15" hidden="1">
      <c r="B98"/>
      <c r="C98"/>
      <c r="D98"/>
      <c r="L98"/>
      <c r="M98"/>
      <c r="N98"/>
      <c r="O98"/>
      <c r="P98"/>
      <c r="Q98"/>
      <c r="R98"/>
      <c r="S98" s="295"/>
      <c r="T98"/>
      <c r="U98" s="296"/>
      <c r="V98"/>
      <c r="W98"/>
      <c r="X98"/>
      <c r="Y98"/>
      <c r="Z98"/>
      <c r="AA98"/>
      <c r="AB98"/>
      <c r="AC98"/>
      <c r="AD98"/>
      <c r="AE98"/>
    </row>
    <row r="99" spans="1:31" ht="15" hidden="1">
      <c r="A99" t="s">
        <v>127</v>
      </c>
      <c r="B99"/>
      <c r="C99"/>
      <c r="D99"/>
      <c r="L99"/>
      <c r="M99"/>
      <c r="N99"/>
      <c r="O99"/>
      <c r="P99"/>
      <c r="Q99"/>
      <c r="R99"/>
      <c r="S99" s="295"/>
      <c r="T99"/>
      <c r="U99" s="296"/>
      <c r="V99"/>
      <c r="W99"/>
      <c r="X99"/>
      <c r="Y99"/>
      <c r="Z99"/>
      <c r="AA99"/>
      <c r="AB99"/>
      <c r="AC99"/>
      <c r="AD99"/>
      <c r="AE99"/>
    </row>
    <row r="100" spans="1:31" ht="15" hidden="1">
      <c r="B100"/>
      <c r="C100"/>
      <c r="D100"/>
      <c r="L100"/>
      <c r="M100"/>
      <c r="N100"/>
      <c r="O100"/>
      <c r="P100"/>
      <c r="Q100"/>
      <c r="R100"/>
      <c r="S100" s="295"/>
      <c r="T100"/>
      <c r="U100" s="296"/>
      <c r="V100"/>
      <c r="W100"/>
      <c r="X100"/>
      <c r="Y100"/>
      <c r="Z100"/>
      <c r="AA100"/>
      <c r="AB100"/>
      <c r="AC100"/>
      <c r="AD100"/>
      <c r="AE100"/>
    </row>
    <row r="101" spans="1:31" ht="15" hidden="1">
      <c r="A101" t="s">
        <v>128</v>
      </c>
      <c r="B101"/>
      <c r="C101"/>
      <c r="D101"/>
      <c r="L101"/>
      <c r="M101"/>
      <c r="N101"/>
      <c r="O101"/>
      <c r="P101"/>
      <c r="Q101"/>
      <c r="R101"/>
      <c r="S101" s="295"/>
      <c r="T101"/>
      <c r="U101" s="296"/>
      <c r="V101"/>
      <c r="W101"/>
      <c r="X101"/>
      <c r="Y101"/>
      <c r="Z101"/>
      <c r="AA101"/>
      <c r="AB101"/>
      <c r="AC101"/>
      <c r="AD101"/>
      <c r="AE101"/>
    </row>
    <row r="102" spans="1:31" ht="15" hidden="1">
      <c r="B102"/>
      <c r="C102"/>
      <c r="D102"/>
      <c r="L102"/>
      <c r="M102"/>
      <c r="N102"/>
      <c r="O102"/>
      <c r="P102"/>
      <c r="Q102"/>
      <c r="R102"/>
      <c r="S102" s="295"/>
      <c r="T102"/>
      <c r="U102" s="296"/>
      <c r="V102"/>
      <c r="W102"/>
      <c r="X102"/>
      <c r="Y102"/>
      <c r="Z102"/>
      <c r="AA102"/>
      <c r="AB102"/>
      <c r="AC102"/>
      <c r="AD102"/>
      <c r="AE102"/>
    </row>
    <row r="103" spans="1:31" ht="15" hidden="1">
      <c r="A103" t="s">
        <v>129</v>
      </c>
      <c r="B103"/>
      <c r="C103"/>
      <c r="D103"/>
      <c r="L103"/>
      <c r="M103"/>
      <c r="N103"/>
      <c r="O103"/>
      <c r="P103"/>
      <c r="Q103"/>
      <c r="R103"/>
      <c r="S103" s="295"/>
      <c r="T103"/>
      <c r="U103" s="296"/>
      <c r="V103"/>
      <c r="W103"/>
      <c r="X103"/>
      <c r="Y103"/>
      <c r="Z103"/>
      <c r="AA103"/>
      <c r="AB103"/>
      <c r="AC103"/>
      <c r="AD103"/>
      <c r="AE103"/>
    </row>
    <row r="104" spans="1:31" ht="15" hidden="1">
      <c r="B104"/>
      <c r="C104"/>
      <c r="D104"/>
      <c r="L104"/>
      <c r="M104"/>
      <c r="N104"/>
      <c r="O104"/>
      <c r="P104"/>
      <c r="Q104"/>
      <c r="R104"/>
      <c r="S104" s="295"/>
      <c r="T104"/>
      <c r="U104" s="296"/>
      <c r="V104"/>
      <c r="W104"/>
      <c r="X104"/>
      <c r="Y104"/>
      <c r="Z104"/>
      <c r="AA104"/>
      <c r="AB104"/>
      <c r="AC104"/>
      <c r="AD104"/>
      <c r="AE104"/>
    </row>
    <row r="105" spans="1:31" ht="15" hidden="1">
      <c r="A105" t="s">
        <v>130</v>
      </c>
      <c r="B105"/>
      <c r="C105"/>
      <c r="D105"/>
      <c r="L105"/>
      <c r="M105"/>
      <c r="N105"/>
      <c r="O105"/>
      <c r="P105"/>
      <c r="Q105"/>
      <c r="R105"/>
      <c r="S105" s="295"/>
      <c r="T105"/>
      <c r="U105" s="296"/>
      <c r="V105"/>
      <c r="W105"/>
      <c r="X105"/>
      <c r="Y105"/>
      <c r="Z105"/>
      <c r="AA105"/>
      <c r="AB105"/>
      <c r="AC105"/>
      <c r="AD105"/>
      <c r="AE105"/>
    </row>
    <row r="106" spans="1:31" ht="15" hidden="1">
      <c r="B106"/>
      <c r="C106"/>
      <c r="D106"/>
      <c r="L106"/>
      <c r="M106"/>
      <c r="N106"/>
      <c r="O106"/>
      <c r="P106"/>
      <c r="Q106"/>
      <c r="R106"/>
      <c r="S106" s="295"/>
      <c r="T106"/>
      <c r="U106" s="296"/>
      <c r="V106"/>
      <c r="W106"/>
      <c r="X106"/>
      <c r="Y106"/>
      <c r="Z106"/>
      <c r="AA106"/>
      <c r="AB106"/>
      <c r="AC106"/>
      <c r="AD106"/>
      <c r="AE106"/>
    </row>
    <row r="107" spans="1:31" ht="15" hidden="1">
      <c r="A107" t="s">
        <v>131</v>
      </c>
      <c r="B107"/>
      <c r="C107"/>
      <c r="D107"/>
      <c r="L107"/>
      <c r="M107"/>
      <c r="N107"/>
      <c r="O107"/>
      <c r="P107"/>
      <c r="Q107"/>
      <c r="R107"/>
      <c r="S107" s="295"/>
      <c r="T107"/>
      <c r="U107" s="296"/>
      <c r="V107"/>
      <c r="W107"/>
      <c r="X107"/>
      <c r="Y107"/>
      <c r="Z107"/>
      <c r="AA107"/>
      <c r="AB107"/>
      <c r="AC107"/>
      <c r="AD107"/>
      <c r="AE107"/>
    </row>
    <row r="108" spans="1:31" ht="15" hidden="1">
      <c r="B108"/>
      <c r="C108"/>
      <c r="D108"/>
      <c r="L108"/>
      <c r="M108"/>
      <c r="N108"/>
      <c r="O108"/>
      <c r="P108"/>
      <c r="Q108"/>
      <c r="R108"/>
      <c r="S108" s="295"/>
      <c r="T108"/>
      <c r="U108" s="296"/>
      <c r="V108"/>
      <c r="W108"/>
      <c r="X108"/>
      <c r="Y108"/>
      <c r="Z108"/>
      <c r="AA108"/>
      <c r="AB108"/>
      <c r="AC108"/>
      <c r="AD108"/>
      <c r="AE108"/>
    </row>
    <row r="109" spans="1:31" ht="15" hidden="1">
      <c r="A109" t="s">
        <v>132</v>
      </c>
      <c r="B109"/>
      <c r="C109"/>
      <c r="D109"/>
      <c r="L109"/>
      <c r="M109"/>
      <c r="N109"/>
      <c r="O109"/>
      <c r="P109"/>
      <c r="Q109"/>
      <c r="R109"/>
      <c r="S109" s="295"/>
      <c r="T109"/>
      <c r="U109" s="296"/>
      <c r="V109"/>
      <c r="W109"/>
      <c r="X109"/>
      <c r="Y109"/>
      <c r="Z109"/>
      <c r="AA109"/>
      <c r="AB109"/>
      <c r="AC109"/>
      <c r="AD109"/>
      <c r="AE109"/>
    </row>
    <row r="110" spans="1:31" ht="15" hidden="1">
      <c r="A110" t="s">
        <v>133</v>
      </c>
      <c r="B110"/>
      <c r="C110"/>
      <c r="D110"/>
      <c r="L110"/>
      <c r="M110"/>
      <c r="N110"/>
      <c r="O110"/>
      <c r="P110"/>
      <c r="Q110"/>
      <c r="R110"/>
      <c r="S110" s="295"/>
      <c r="T110"/>
      <c r="U110" s="296"/>
      <c r="V110"/>
      <c r="W110"/>
      <c r="X110"/>
      <c r="Y110"/>
      <c r="Z110"/>
      <c r="AA110"/>
      <c r="AB110"/>
      <c r="AC110"/>
      <c r="AD110"/>
      <c r="AE110"/>
    </row>
    <row r="111" spans="1:31" ht="15" hidden="1">
      <c r="B111"/>
      <c r="C111"/>
      <c r="D111"/>
      <c r="L111"/>
      <c r="M111"/>
      <c r="N111"/>
      <c r="O111"/>
      <c r="P111"/>
      <c r="Q111"/>
      <c r="R111"/>
      <c r="S111" s="295"/>
      <c r="T111"/>
      <c r="U111" s="296"/>
      <c r="V111"/>
      <c r="W111"/>
      <c r="X111"/>
      <c r="Y111"/>
      <c r="Z111"/>
      <c r="AA111"/>
      <c r="AB111"/>
      <c r="AC111"/>
      <c r="AD111"/>
      <c r="AE111"/>
    </row>
    <row r="112" spans="1:31" ht="15" hidden="1">
      <c r="A112" s="4" t="s">
        <v>134</v>
      </c>
      <c r="B112"/>
      <c r="C112"/>
      <c r="D112"/>
      <c r="L112"/>
      <c r="M112"/>
      <c r="N112"/>
      <c r="O112"/>
      <c r="P112"/>
      <c r="Q112"/>
      <c r="R112"/>
      <c r="S112" s="295"/>
      <c r="T112"/>
      <c r="U112" s="296"/>
      <c r="V112"/>
      <c r="W112"/>
      <c r="X112"/>
      <c r="Y112"/>
      <c r="Z112"/>
      <c r="AA112"/>
      <c r="AB112"/>
      <c r="AC112"/>
      <c r="AD112"/>
      <c r="AE112"/>
    </row>
    <row r="113" spans="1:31" ht="15" hidden="1">
      <c r="A113" t="s">
        <v>135</v>
      </c>
      <c r="B113"/>
      <c r="C113"/>
      <c r="D113"/>
      <c r="L113"/>
      <c r="M113"/>
      <c r="N113"/>
      <c r="O113"/>
      <c r="P113"/>
      <c r="Q113"/>
      <c r="R113"/>
      <c r="S113" s="295"/>
      <c r="T113"/>
      <c r="U113" s="296"/>
      <c r="V113"/>
      <c r="W113"/>
      <c r="X113"/>
      <c r="Y113"/>
      <c r="Z113"/>
      <c r="AA113"/>
      <c r="AB113"/>
      <c r="AC113"/>
      <c r="AD113"/>
      <c r="AE113"/>
    </row>
    <row r="114" spans="1:31" ht="15" hidden="1">
      <c r="A114" t="s">
        <v>136</v>
      </c>
      <c r="B114"/>
      <c r="C114"/>
      <c r="D114"/>
      <c r="L114"/>
      <c r="M114"/>
      <c r="N114"/>
      <c r="O114"/>
      <c r="P114"/>
      <c r="Q114"/>
      <c r="R114"/>
      <c r="S114" s="295"/>
      <c r="T114"/>
      <c r="U114" s="296"/>
      <c r="V114"/>
      <c r="W114"/>
      <c r="X114"/>
      <c r="Y114"/>
      <c r="Z114"/>
      <c r="AA114"/>
      <c r="AB114"/>
      <c r="AC114"/>
      <c r="AD114"/>
      <c r="AE114"/>
    </row>
    <row r="115" spans="1:31" ht="15" hidden="1">
      <c r="B115"/>
      <c r="C115"/>
      <c r="D115"/>
      <c r="L115"/>
      <c r="M115"/>
      <c r="N115"/>
      <c r="O115"/>
      <c r="P115"/>
      <c r="Q115"/>
      <c r="R115"/>
      <c r="S115" s="295"/>
      <c r="T115"/>
      <c r="U115" s="296"/>
      <c r="V115"/>
      <c r="W115"/>
      <c r="X115"/>
      <c r="Y115"/>
      <c r="Z115"/>
      <c r="AA115"/>
      <c r="AB115"/>
      <c r="AC115"/>
      <c r="AD115"/>
      <c r="AE115"/>
    </row>
    <row r="116" spans="1:31" ht="15" hidden="1">
      <c r="A116" t="s">
        <v>137</v>
      </c>
      <c r="B116"/>
      <c r="C116"/>
      <c r="D116"/>
      <c r="L116"/>
      <c r="M116"/>
      <c r="N116"/>
      <c r="O116"/>
      <c r="P116"/>
      <c r="Q116"/>
      <c r="R116"/>
      <c r="S116" s="295"/>
      <c r="T116"/>
      <c r="U116" s="296"/>
      <c r="V116"/>
      <c r="W116"/>
      <c r="X116"/>
      <c r="Y116"/>
      <c r="Z116"/>
      <c r="AA116"/>
      <c r="AB116"/>
      <c r="AC116"/>
      <c r="AD116"/>
      <c r="AE116"/>
    </row>
    <row r="117" spans="1:31" ht="15" hidden="1">
      <c r="A117" t="s">
        <v>138</v>
      </c>
      <c r="B117"/>
      <c r="C117"/>
      <c r="D117"/>
      <c r="L117"/>
      <c r="M117"/>
      <c r="N117"/>
      <c r="O117"/>
      <c r="P117"/>
      <c r="Q117"/>
      <c r="R117"/>
      <c r="S117" s="295"/>
      <c r="T117"/>
      <c r="U117" s="296"/>
      <c r="V117"/>
      <c r="W117"/>
      <c r="X117"/>
      <c r="Y117"/>
      <c r="Z117"/>
      <c r="AA117"/>
      <c r="AB117"/>
      <c r="AC117"/>
      <c r="AD117"/>
      <c r="AE117"/>
    </row>
    <row r="118" spans="1:31" ht="15" hidden="1">
      <c r="B118"/>
      <c r="C118"/>
      <c r="D118"/>
      <c r="L118"/>
      <c r="M118"/>
      <c r="N118"/>
      <c r="O118"/>
      <c r="P118"/>
      <c r="Q118"/>
      <c r="R118"/>
      <c r="S118" s="295"/>
      <c r="T118"/>
      <c r="U118" s="296"/>
      <c r="V118"/>
      <c r="W118"/>
      <c r="X118"/>
      <c r="Y118"/>
      <c r="Z118"/>
      <c r="AA118"/>
      <c r="AB118"/>
      <c r="AC118"/>
      <c r="AD118"/>
      <c r="AE118"/>
    </row>
    <row r="119" spans="1:31" ht="15" hidden="1">
      <c r="A119" t="s">
        <v>139</v>
      </c>
      <c r="B119"/>
      <c r="C119"/>
      <c r="D119"/>
      <c r="L119"/>
      <c r="M119"/>
      <c r="N119"/>
      <c r="O119"/>
      <c r="P119"/>
      <c r="Q119"/>
      <c r="R119"/>
      <c r="S119" s="295"/>
      <c r="T119"/>
      <c r="U119" s="296"/>
      <c r="V119"/>
      <c r="W119"/>
      <c r="X119"/>
      <c r="Y119"/>
      <c r="Z119"/>
      <c r="AA119"/>
      <c r="AB119"/>
      <c r="AC119"/>
      <c r="AD119"/>
      <c r="AE119"/>
    </row>
    <row r="120" spans="1:31" ht="15" hidden="1">
      <c r="B120"/>
      <c r="C120"/>
      <c r="D120"/>
      <c r="L120"/>
      <c r="M120"/>
      <c r="N120"/>
      <c r="O120"/>
      <c r="P120"/>
      <c r="Q120"/>
      <c r="R120"/>
      <c r="S120" s="295"/>
      <c r="T120"/>
      <c r="U120" s="296"/>
      <c r="V120"/>
      <c r="W120"/>
      <c r="X120"/>
      <c r="Y120"/>
      <c r="Z120"/>
      <c r="AA120"/>
      <c r="AB120"/>
      <c r="AC120"/>
      <c r="AD120"/>
      <c r="AE120"/>
    </row>
    <row r="121" spans="1:31" ht="15" hidden="1">
      <c r="A121" s="4" t="s">
        <v>140</v>
      </c>
      <c r="B121"/>
      <c r="C121"/>
      <c r="D121"/>
      <c r="L121"/>
      <c r="M121"/>
      <c r="N121"/>
      <c r="O121"/>
      <c r="P121"/>
      <c r="Q121"/>
      <c r="R121"/>
      <c r="S121" s="295"/>
      <c r="T121"/>
      <c r="U121" s="296"/>
      <c r="V121"/>
      <c r="W121"/>
      <c r="X121"/>
      <c r="Y121"/>
      <c r="Z121"/>
      <c r="AA121"/>
      <c r="AB121"/>
      <c r="AC121"/>
      <c r="AD121"/>
      <c r="AE121"/>
    </row>
    <row r="122" spans="1:31" ht="15" hidden="1">
      <c r="A122" t="s">
        <v>141</v>
      </c>
      <c r="B122"/>
      <c r="C122"/>
      <c r="D122"/>
      <c r="L122"/>
      <c r="M122"/>
      <c r="N122"/>
      <c r="O122"/>
      <c r="P122"/>
      <c r="Q122"/>
      <c r="R122"/>
      <c r="S122" s="295"/>
      <c r="T122"/>
      <c r="U122" s="296"/>
      <c r="V122"/>
      <c r="W122"/>
      <c r="X122"/>
      <c r="Y122"/>
      <c r="Z122"/>
      <c r="AA122"/>
      <c r="AB122"/>
      <c r="AC122"/>
      <c r="AD122"/>
      <c r="AE122"/>
    </row>
    <row r="123" spans="1:31" ht="15" hidden="1">
      <c r="B123"/>
      <c r="C123"/>
      <c r="D123"/>
      <c r="L123"/>
      <c r="M123"/>
      <c r="N123"/>
      <c r="O123"/>
      <c r="P123"/>
      <c r="Q123"/>
      <c r="R123"/>
      <c r="S123" s="295"/>
      <c r="T123"/>
      <c r="U123" s="296"/>
      <c r="V123"/>
      <c r="W123"/>
      <c r="X123"/>
      <c r="Y123"/>
      <c r="Z123"/>
      <c r="AA123"/>
      <c r="AB123"/>
      <c r="AC123"/>
      <c r="AD123"/>
      <c r="AE123"/>
    </row>
    <row r="124" spans="1:31" ht="15" hidden="1">
      <c r="A124" t="s">
        <v>142</v>
      </c>
      <c r="B124"/>
      <c r="C124"/>
      <c r="D124"/>
      <c r="L124"/>
      <c r="M124"/>
      <c r="N124"/>
      <c r="O124"/>
      <c r="P124"/>
      <c r="Q124"/>
      <c r="R124"/>
      <c r="S124" s="295"/>
      <c r="T124"/>
      <c r="U124" s="296"/>
      <c r="V124"/>
      <c r="W124"/>
      <c r="X124"/>
      <c r="Y124"/>
      <c r="Z124"/>
      <c r="AA124"/>
      <c r="AB124"/>
      <c r="AC124"/>
      <c r="AD124"/>
      <c r="AE124"/>
    </row>
    <row r="125" spans="1:31" ht="15" hidden="1">
      <c r="B125"/>
      <c r="C125"/>
      <c r="D125"/>
      <c r="L125"/>
      <c r="M125"/>
      <c r="N125"/>
      <c r="O125"/>
      <c r="P125"/>
      <c r="Q125"/>
      <c r="R125"/>
      <c r="S125" s="295"/>
      <c r="T125"/>
      <c r="U125" s="296"/>
      <c r="V125"/>
      <c r="W125"/>
      <c r="X125"/>
      <c r="Y125"/>
      <c r="Z125"/>
      <c r="AA125"/>
      <c r="AB125"/>
      <c r="AC125"/>
      <c r="AD125"/>
      <c r="AE125"/>
    </row>
    <row r="126" spans="1:31" ht="15" hidden="1">
      <c r="B126"/>
      <c r="C126"/>
      <c r="D126"/>
      <c r="L126"/>
      <c r="M126"/>
      <c r="N126"/>
      <c r="O126"/>
      <c r="P126"/>
      <c r="Q126"/>
      <c r="R126"/>
      <c r="S126" s="295"/>
      <c r="T126"/>
      <c r="U126" s="296"/>
      <c r="V126"/>
      <c r="W126"/>
      <c r="X126"/>
      <c r="Y126"/>
      <c r="Z126"/>
      <c r="AA126"/>
      <c r="AB126"/>
      <c r="AC126"/>
      <c r="AD126"/>
      <c r="AE126"/>
    </row>
    <row r="127" spans="1:31" ht="15" hidden="1">
      <c r="A127" s="4" t="s">
        <v>143</v>
      </c>
      <c r="B127"/>
      <c r="C127"/>
      <c r="D127"/>
      <c r="L127"/>
      <c r="M127"/>
      <c r="N127"/>
      <c r="O127"/>
      <c r="P127"/>
      <c r="Q127"/>
      <c r="R127"/>
      <c r="S127" s="295"/>
      <c r="T127"/>
      <c r="U127" s="296"/>
      <c r="V127"/>
      <c r="W127"/>
      <c r="X127"/>
      <c r="Y127"/>
      <c r="Z127"/>
      <c r="AA127"/>
      <c r="AB127"/>
      <c r="AC127"/>
      <c r="AD127"/>
      <c r="AE127"/>
    </row>
    <row r="128" spans="1:31" ht="15" hidden="1">
      <c r="A128" t="s">
        <v>144</v>
      </c>
      <c r="B128"/>
      <c r="C128"/>
      <c r="D128"/>
      <c r="L128"/>
      <c r="M128"/>
      <c r="N128"/>
      <c r="O128"/>
      <c r="P128"/>
      <c r="Q128"/>
      <c r="R128"/>
      <c r="S128" s="295"/>
      <c r="T128"/>
      <c r="U128" s="296"/>
      <c r="V128"/>
      <c r="W128"/>
      <c r="X128"/>
      <c r="Y128"/>
      <c r="Z128"/>
      <c r="AA128"/>
      <c r="AB128"/>
      <c r="AC128"/>
      <c r="AD128"/>
      <c r="AE128"/>
    </row>
    <row r="129" spans="1:31" ht="15" hidden="1">
      <c r="A129" t="s">
        <v>145</v>
      </c>
      <c r="B129"/>
      <c r="C129"/>
      <c r="D129"/>
      <c r="L129"/>
      <c r="M129"/>
      <c r="N129"/>
      <c r="O129"/>
      <c r="P129"/>
      <c r="Q129"/>
      <c r="R129"/>
      <c r="S129" s="295"/>
      <c r="T129"/>
      <c r="U129" s="296"/>
      <c r="V129"/>
      <c r="W129"/>
      <c r="X129"/>
      <c r="Y129"/>
      <c r="Z129"/>
      <c r="AA129"/>
      <c r="AB129"/>
      <c r="AC129"/>
      <c r="AD129"/>
      <c r="AE129"/>
    </row>
    <row r="130" spans="1:31" ht="15" hidden="1">
      <c r="B130"/>
      <c r="C130"/>
      <c r="D130"/>
      <c r="L130"/>
      <c r="M130"/>
      <c r="N130"/>
      <c r="O130"/>
      <c r="P130"/>
      <c r="Q130"/>
      <c r="R130"/>
      <c r="S130" s="295"/>
      <c r="T130"/>
      <c r="U130" s="296"/>
      <c r="V130"/>
      <c r="W130"/>
      <c r="X130"/>
      <c r="Y130"/>
      <c r="Z130"/>
      <c r="AA130"/>
      <c r="AB130"/>
      <c r="AC130"/>
      <c r="AD130"/>
      <c r="AE130"/>
    </row>
    <row r="131" spans="1:31" ht="15" hidden="1">
      <c r="A131" s="4" t="s">
        <v>124</v>
      </c>
      <c r="B131"/>
      <c r="C131"/>
      <c r="D131"/>
      <c r="L131"/>
      <c r="M131"/>
      <c r="N131"/>
      <c r="O131"/>
      <c r="P131"/>
      <c r="Q131"/>
      <c r="R131"/>
      <c r="S131" s="295"/>
      <c r="T131"/>
      <c r="U131" s="296"/>
      <c r="V131"/>
      <c r="W131"/>
      <c r="X131"/>
      <c r="Y131"/>
      <c r="Z131"/>
      <c r="AA131"/>
      <c r="AB131"/>
      <c r="AC131"/>
      <c r="AD131"/>
      <c r="AE131"/>
    </row>
    <row r="132" spans="1:31" ht="15" hidden="1">
      <c r="A132" t="s">
        <v>125</v>
      </c>
      <c r="B132"/>
      <c r="C132"/>
      <c r="D132"/>
      <c r="L132"/>
      <c r="M132"/>
      <c r="N132"/>
      <c r="O132"/>
      <c r="P132"/>
      <c r="Q132"/>
      <c r="R132"/>
      <c r="S132" s="295"/>
      <c r="T132"/>
      <c r="U132" s="296"/>
      <c r="V132"/>
      <c r="W132"/>
      <c r="X132"/>
      <c r="Y132"/>
      <c r="Z132"/>
      <c r="AA132"/>
      <c r="AB132"/>
      <c r="AC132"/>
      <c r="AD132"/>
      <c r="AE132"/>
    </row>
    <row r="133" spans="1:31" ht="15" hidden="1">
      <c r="A133" t="s">
        <v>126</v>
      </c>
      <c r="B133"/>
      <c r="C133"/>
      <c r="D133"/>
      <c r="L133"/>
      <c r="M133"/>
      <c r="N133"/>
      <c r="O133"/>
      <c r="P133"/>
      <c r="Q133"/>
      <c r="R133"/>
      <c r="S133" s="295"/>
      <c r="T133"/>
      <c r="U133" s="296"/>
      <c r="V133"/>
      <c r="W133"/>
      <c r="X133"/>
      <c r="Y133"/>
      <c r="Z133"/>
      <c r="AA133"/>
      <c r="AB133"/>
      <c r="AC133"/>
      <c r="AD133"/>
      <c r="AE133"/>
    </row>
    <row r="134" spans="1:31" ht="15" hidden="1">
      <c r="B134"/>
      <c r="C134"/>
      <c r="D134"/>
      <c r="L134"/>
      <c r="M134"/>
      <c r="N134"/>
      <c r="O134"/>
      <c r="P134"/>
      <c r="Q134"/>
      <c r="R134"/>
      <c r="S134" s="295"/>
      <c r="T134"/>
      <c r="U134" s="296"/>
      <c r="V134"/>
      <c r="W134"/>
      <c r="X134"/>
      <c r="Y134"/>
      <c r="Z134"/>
      <c r="AA134"/>
      <c r="AB134"/>
      <c r="AC134"/>
      <c r="AD134"/>
      <c r="AE134"/>
    </row>
    <row r="135" spans="1:31" ht="15" hidden="1">
      <c r="A135" t="s">
        <v>146</v>
      </c>
      <c r="B135"/>
      <c r="C135"/>
      <c r="D135"/>
      <c r="L135"/>
      <c r="M135"/>
      <c r="N135"/>
      <c r="O135"/>
      <c r="P135"/>
      <c r="Q135"/>
      <c r="R135"/>
      <c r="S135" s="295"/>
      <c r="T135"/>
      <c r="U135" s="296"/>
      <c r="V135"/>
      <c r="W135"/>
      <c r="X135"/>
      <c r="Y135"/>
      <c r="Z135"/>
      <c r="AA135"/>
      <c r="AB135"/>
      <c r="AC135"/>
      <c r="AD135"/>
      <c r="AE135"/>
    </row>
    <row r="136" spans="1:31" ht="15" hidden="1">
      <c r="A136" t="s">
        <v>147</v>
      </c>
      <c r="B136"/>
      <c r="C136"/>
      <c r="D136"/>
      <c r="L136"/>
      <c r="M136"/>
      <c r="N136"/>
      <c r="O136"/>
      <c r="P136"/>
      <c r="Q136"/>
      <c r="R136"/>
      <c r="S136" s="295"/>
      <c r="T136"/>
      <c r="U136" s="296"/>
      <c r="V136"/>
      <c r="W136"/>
      <c r="X136"/>
      <c r="Y136"/>
      <c r="Z136"/>
      <c r="AA136"/>
      <c r="AB136"/>
      <c r="AC136"/>
      <c r="AD136"/>
      <c r="AE136"/>
    </row>
    <row r="137" spans="1:31" ht="15" hidden="1">
      <c r="B137"/>
      <c r="C137"/>
      <c r="D137"/>
      <c r="L137"/>
      <c r="M137"/>
      <c r="N137"/>
      <c r="O137"/>
      <c r="P137"/>
      <c r="Q137"/>
      <c r="R137"/>
      <c r="S137" s="295"/>
      <c r="T137"/>
      <c r="U137" s="296"/>
      <c r="V137"/>
      <c r="W137"/>
      <c r="X137"/>
      <c r="Y137"/>
      <c r="Z137"/>
      <c r="AA137"/>
      <c r="AB137"/>
      <c r="AC137"/>
      <c r="AD137"/>
      <c r="AE137"/>
    </row>
    <row r="138" spans="1:31" ht="15" hidden="1">
      <c r="A138" t="s">
        <v>148</v>
      </c>
      <c r="B138"/>
      <c r="C138"/>
      <c r="D138"/>
      <c r="L138"/>
      <c r="M138"/>
      <c r="N138"/>
      <c r="O138"/>
      <c r="P138"/>
      <c r="Q138"/>
      <c r="R138"/>
      <c r="S138" s="295"/>
      <c r="T138"/>
      <c r="U138" s="296"/>
      <c r="V138"/>
      <c r="W138"/>
      <c r="X138"/>
      <c r="Y138"/>
      <c r="Z138"/>
      <c r="AA138"/>
      <c r="AB138"/>
      <c r="AC138"/>
      <c r="AD138"/>
      <c r="AE138"/>
    </row>
    <row r="139" spans="1:31" ht="15" hidden="1">
      <c r="B139"/>
      <c r="C139"/>
      <c r="D139"/>
      <c r="L139"/>
      <c r="M139"/>
      <c r="N139"/>
      <c r="O139"/>
      <c r="P139"/>
      <c r="Q139"/>
      <c r="R139"/>
      <c r="S139" s="295"/>
      <c r="T139"/>
      <c r="U139" s="296"/>
      <c r="V139"/>
      <c r="W139"/>
      <c r="X139"/>
      <c r="Y139"/>
      <c r="Z139"/>
      <c r="AA139"/>
      <c r="AB139"/>
      <c r="AC139"/>
      <c r="AD139"/>
      <c r="AE139"/>
    </row>
    <row r="140" spans="1:31" ht="15" hidden="1">
      <c r="B140"/>
      <c r="C140"/>
      <c r="D140"/>
      <c r="L140"/>
      <c r="M140"/>
      <c r="N140"/>
      <c r="O140"/>
      <c r="P140"/>
      <c r="Q140"/>
      <c r="R140"/>
      <c r="S140" s="295"/>
      <c r="T140"/>
      <c r="U140" s="296"/>
      <c r="V140"/>
      <c r="W140"/>
      <c r="X140"/>
      <c r="Y140"/>
      <c r="Z140"/>
      <c r="AA140"/>
      <c r="AB140"/>
      <c r="AC140"/>
      <c r="AD140"/>
      <c r="AE140"/>
    </row>
    <row r="141" spans="1:31" ht="15" hidden="1">
      <c r="A141" s="4" t="s">
        <v>149</v>
      </c>
      <c r="B141"/>
      <c r="C141"/>
      <c r="D141"/>
      <c r="L141"/>
      <c r="M141"/>
      <c r="N141"/>
      <c r="O141"/>
      <c r="P141"/>
      <c r="Q141"/>
      <c r="R141"/>
      <c r="S141" s="295"/>
      <c r="T141"/>
      <c r="U141" s="296"/>
      <c r="V141"/>
      <c r="W141"/>
      <c r="X141"/>
      <c r="Y141"/>
      <c r="Z141"/>
      <c r="AA141"/>
      <c r="AB141"/>
      <c r="AC141"/>
      <c r="AD141"/>
      <c r="AE141"/>
    </row>
    <row r="142" spans="1:31" ht="15" hidden="1">
      <c r="B142"/>
      <c r="C142"/>
      <c r="D142"/>
      <c r="L142"/>
      <c r="M142"/>
      <c r="N142"/>
      <c r="O142"/>
      <c r="P142"/>
      <c r="Q142"/>
      <c r="R142"/>
      <c r="S142" s="295"/>
      <c r="T142"/>
      <c r="U142" s="296"/>
      <c r="V142"/>
      <c r="W142"/>
      <c r="X142"/>
      <c r="Y142"/>
      <c r="Z142"/>
      <c r="AA142"/>
      <c r="AB142"/>
      <c r="AC142"/>
      <c r="AD142"/>
      <c r="AE142"/>
    </row>
    <row r="143" spans="1:31" ht="15" hidden="1">
      <c r="B143"/>
      <c r="C143"/>
      <c r="D143"/>
      <c r="L143"/>
      <c r="M143"/>
      <c r="N143"/>
      <c r="O143"/>
      <c r="P143"/>
      <c r="Q143"/>
      <c r="R143"/>
      <c r="S143" s="295"/>
      <c r="T143"/>
      <c r="U143" s="296"/>
      <c r="V143"/>
      <c r="W143"/>
      <c r="X143"/>
      <c r="Y143"/>
      <c r="Z143"/>
      <c r="AA143"/>
      <c r="AB143"/>
      <c r="AC143"/>
      <c r="AD143"/>
      <c r="AE143"/>
    </row>
    <row r="144" spans="1:31" ht="15" hidden="1">
      <c r="A144" t="s">
        <v>150</v>
      </c>
      <c r="B144"/>
      <c r="C144"/>
      <c r="D144"/>
      <c r="L144"/>
      <c r="M144"/>
      <c r="N144"/>
      <c r="O144"/>
      <c r="P144"/>
      <c r="Q144"/>
      <c r="R144"/>
      <c r="S144" s="295"/>
      <c r="T144"/>
      <c r="U144" s="296"/>
      <c r="V144"/>
      <c r="W144"/>
      <c r="X144"/>
      <c r="Y144"/>
      <c r="Z144"/>
      <c r="AA144"/>
      <c r="AB144"/>
      <c r="AC144"/>
      <c r="AD144"/>
      <c r="AE144"/>
    </row>
    <row r="147" spans="2:31">
      <c r="C147" s="99"/>
    </row>
    <row r="148" spans="2:31" ht="15">
      <c r="B148"/>
      <c r="C148" s="100"/>
      <c r="D148"/>
      <c r="L148"/>
      <c r="M148"/>
      <c r="N148"/>
      <c r="O148"/>
      <c r="P148"/>
      <c r="Q148"/>
      <c r="R148"/>
      <c r="S148" s="295"/>
      <c r="T148"/>
      <c r="U148" s="296"/>
      <c r="V148"/>
      <c r="W148"/>
      <c r="X148"/>
      <c r="Y148"/>
      <c r="Z148"/>
      <c r="AA148"/>
      <c r="AB148"/>
      <c r="AC148"/>
      <c r="AD148"/>
      <c r="AE148"/>
    </row>
    <row r="149" spans="2:31" ht="15">
      <c r="B149"/>
      <c r="C149" s="101"/>
      <c r="D149"/>
      <c r="J149" s="98"/>
      <c r="L149"/>
      <c r="M149"/>
      <c r="N149"/>
      <c r="O149"/>
      <c r="P149"/>
      <c r="Q149"/>
      <c r="R149"/>
      <c r="S149" s="295"/>
      <c r="T149"/>
      <c r="U149" s="296"/>
      <c r="V149"/>
      <c r="W149"/>
      <c r="X149"/>
      <c r="Y149"/>
      <c r="Z149"/>
      <c r="AA149"/>
      <c r="AB149"/>
      <c r="AC149"/>
      <c r="AD149"/>
      <c r="AE149"/>
    </row>
    <row r="150" spans="2:31" ht="15">
      <c r="B150"/>
      <c r="C150" s="102"/>
      <c r="D150"/>
      <c r="L150"/>
      <c r="M150"/>
      <c r="N150"/>
      <c r="O150"/>
      <c r="P150"/>
      <c r="Q150"/>
      <c r="R150"/>
      <c r="S150" s="295"/>
      <c r="T150"/>
      <c r="U150" s="296"/>
      <c r="V150"/>
      <c r="W150"/>
      <c r="X150"/>
      <c r="Y150"/>
      <c r="Z150"/>
      <c r="AA150"/>
      <c r="AB150"/>
      <c r="AC150"/>
      <c r="AD150"/>
      <c r="AE150"/>
    </row>
    <row r="151" spans="2:31">
      <c r="C151" s="99"/>
    </row>
    <row r="152" spans="2:31" ht="15">
      <c r="B152"/>
      <c r="C152" s="99"/>
      <c r="D152"/>
      <c r="L152"/>
      <c r="M152"/>
      <c r="N152"/>
      <c r="O152"/>
      <c r="P152"/>
      <c r="Q152"/>
      <c r="R152"/>
      <c r="S152" s="295"/>
      <c r="T152"/>
      <c r="U152" s="296"/>
      <c r="V152"/>
      <c r="W152"/>
      <c r="X152"/>
      <c r="Y152"/>
      <c r="Z152"/>
      <c r="AA152"/>
      <c r="AB152"/>
      <c r="AC152"/>
      <c r="AD152"/>
      <c r="AE152"/>
    </row>
    <row r="153" spans="2:31" ht="15">
      <c r="B153"/>
      <c r="D153"/>
      <c r="L153"/>
      <c r="M153"/>
      <c r="N153"/>
      <c r="O153"/>
      <c r="P153"/>
      <c r="Q153"/>
      <c r="R153"/>
      <c r="S153" s="295"/>
      <c r="T153"/>
      <c r="U153" s="296"/>
      <c r="V153"/>
      <c r="W153"/>
      <c r="X153"/>
      <c r="Y153"/>
      <c r="Z153"/>
      <c r="AA153"/>
      <c r="AB153"/>
      <c r="AC153"/>
      <c r="AD153"/>
      <c r="AE153"/>
    </row>
    <row r="155" spans="2:31" ht="15">
      <c r="B155"/>
      <c r="D155"/>
      <c r="L155"/>
      <c r="M155"/>
      <c r="N155"/>
      <c r="O155"/>
      <c r="P155"/>
      <c r="Q155"/>
      <c r="R155"/>
      <c r="S155" s="295"/>
      <c r="T155"/>
      <c r="U155" s="296"/>
      <c r="V155"/>
      <c r="W155"/>
      <c r="X155"/>
      <c r="Y155"/>
      <c r="Z155"/>
      <c r="AA155"/>
      <c r="AB155"/>
      <c r="AC155"/>
      <c r="AD155"/>
      <c r="AE155"/>
    </row>
    <row r="157" spans="2:31" ht="15">
      <c r="B157"/>
      <c r="D157"/>
      <c r="L157"/>
      <c r="M157"/>
      <c r="N157"/>
      <c r="O157"/>
      <c r="P157"/>
      <c r="Q157"/>
      <c r="R157"/>
      <c r="S157" s="295"/>
      <c r="T157"/>
      <c r="U157" s="296"/>
      <c r="V157"/>
      <c r="W157"/>
      <c r="X157"/>
      <c r="Y157"/>
      <c r="Z157"/>
      <c r="AA157"/>
      <c r="AB157"/>
      <c r="AC157"/>
      <c r="AD157"/>
      <c r="AE157"/>
    </row>
    <row r="162" spans="2:31" ht="15">
      <c r="B162"/>
      <c r="D162"/>
      <c r="L162"/>
      <c r="M162"/>
      <c r="N162"/>
      <c r="O162"/>
      <c r="P162"/>
      <c r="Q162"/>
      <c r="R162"/>
      <c r="S162" s="295"/>
      <c r="T162"/>
      <c r="U162" s="296"/>
      <c r="V162"/>
      <c r="W162"/>
      <c r="X162"/>
      <c r="Y162"/>
      <c r="Z162"/>
      <c r="AA162"/>
      <c r="AB162"/>
      <c r="AC162"/>
      <c r="AD162"/>
      <c r="AE162"/>
    </row>
    <row r="164" spans="2:31" ht="15">
      <c r="B164"/>
      <c r="D164"/>
      <c r="L164"/>
      <c r="M164"/>
      <c r="N164"/>
      <c r="O164"/>
      <c r="P164"/>
      <c r="Q164"/>
      <c r="R164"/>
      <c r="S164" s="295"/>
      <c r="T164"/>
      <c r="U164" s="296"/>
      <c r="V164"/>
      <c r="W164"/>
      <c r="X164"/>
      <c r="Y164"/>
      <c r="Z164"/>
      <c r="AA164"/>
      <c r="AB164"/>
      <c r="AC164"/>
      <c r="AD164"/>
      <c r="AE164"/>
    </row>
  </sheetData>
  <sheetProtection selectLockedCells="1" selectUnlockedCells="1"/>
  <autoFilter ref="A11:U11"/>
  <mergeCells count="14">
    <mergeCell ref="H9:J9"/>
    <mergeCell ref="L9:N9"/>
    <mergeCell ref="A9:A10"/>
    <mergeCell ref="B9:B10"/>
    <mergeCell ref="C9:C10"/>
    <mergeCell ref="D9:D10"/>
    <mergeCell ref="E9:E10"/>
    <mergeCell ref="F9:G9"/>
    <mergeCell ref="A1:J1"/>
    <mergeCell ref="A2:J2"/>
    <mergeCell ref="A3:J3"/>
    <mergeCell ref="A5:J5"/>
    <mergeCell ref="A6:J6"/>
    <mergeCell ref="A7:J7"/>
  </mergeCells>
  <conditionalFormatting sqref="U1:U1048576">
    <cfRule type="expression" dxfId="2" priority="1" stopIfTrue="1">
      <formula>NOT(ISERROR(SEARCH("C",U1)))</formula>
    </cfRule>
    <cfRule type="expression" dxfId="1" priority="2" stopIfTrue="1">
      <formula>NOT(ISERROR(SEARCH("B",U1)))</formula>
    </cfRule>
    <cfRule type="expression" dxfId="0" priority="3" stopIfTrue="1">
      <formula>NOT(ISERROR(SEARCH("A",U1)))</formula>
    </cfRule>
  </conditionalFormatting>
  <printOptions horizontalCentered="1"/>
  <pageMargins left="0.39374999999999999" right="0.39374999999999999" top="0.98402777777777783" bottom="0.98402777777777783" header="0.51181102362204722" footer="0.51181102362204722"/>
  <pageSetup paperSize="9" scale="43" firstPageNumber="0" orientation="landscape" horizontalDpi="300" verticalDpi="300" r:id="rId1"/>
  <headerFooter alignWithMargins="0"/>
  <rowBreaks count="1" manualBreakCount="1">
    <brk id="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15</vt:i4>
      </vt:variant>
    </vt:vector>
  </HeadingPairs>
  <TitlesOfParts>
    <vt:vector size="25" baseType="lpstr">
      <vt:lpstr>CRONOGRAMA 2025</vt:lpstr>
      <vt:lpstr>MEMÓRIA  DE CÁLCULO QUANTITATIV</vt:lpstr>
      <vt:lpstr>ORÇAMENTO FINAL</vt:lpstr>
      <vt:lpstr>MEMÓRIA QUANTITATIVOS LOT 01</vt:lpstr>
      <vt:lpstr>ORÇAMENTO PROTÁZIO LOT 01</vt:lpstr>
      <vt:lpstr>Plan1</vt:lpstr>
      <vt:lpstr>Plan2</vt:lpstr>
      <vt:lpstr>BDI </vt:lpstr>
      <vt:lpstr>ORÇAMENTO LOT INDUSTRIAL ABC</vt:lpstr>
      <vt:lpstr>Relatório de Compatibilidade</vt:lpstr>
      <vt:lpstr>'BDI '!Area_de_impressao</vt:lpstr>
      <vt:lpstr>'CRONOGRAMA 2025'!Area_de_impressao</vt:lpstr>
      <vt:lpstr>'MEMÓRIA  DE CÁLCULO QUANTITATIV'!Area_de_impressao</vt:lpstr>
      <vt:lpstr>'MEMÓRIA QUANTITATIVOS LOT 01'!Area_de_impressao</vt:lpstr>
      <vt:lpstr>'ORÇAMENTO FINAL'!Area_de_impressao</vt:lpstr>
      <vt:lpstr>'ORÇAMENTO LOT INDUSTRIAL ABC'!Area_de_impressao</vt:lpstr>
      <vt:lpstr>'ORÇAMENTO PROTÁZIO LOT 01'!Area_de_impressao</vt:lpstr>
      <vt:lpstr>'ORÇAMENTO LOT INDUSTRIAL ABC'!Excel_BuiltIn__FilterDatabase</vt:lpstr>
      <vt:lpstr>'BDI '!Excel_BuiltIn_Print_Area</vt:lpstr>
      <vt:lpstr>'CRONOGRAMA 2025'!Excel_BuiltIn_Print_Area</vt:lpstr>
      <vt:lpstr>'MEMÓRIA  DE CÁLCULO QUANTITATIV'!Excel_BuiltIn_Print_Area</vt:lpstr>
      <vt:lpstr>'MEMÓRIA QUANTITATIVOS LOT 01'!Excel_BuiltIn_Print_Area</vt:lpstr>
      <vt:lpstr>'ORÇAMENTO FINAL'!Excel_BuiltIn_Print_Area</vt:lpstr>
      <vt:lpstr>'ORÇAMENTO LOT INDUSTRIAL ABC'!Excel_BuiltIn_Print_Area</vt:lpstr>
      <vt:lpstr>'ORÇAMENTO PROTÁZIO LOT 01'!Excel_BuiltIn_Print_Area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Eveline Schulz Heps</dc:creator>
  <cp:lastModifiedBy>Eveline Schulz Heps</cp:lastModifiedBy>
  <dcterms:created xsi:type="dcterms:W3CDTF">2025-11-05T18:17:24Z</dcterms:created>
  <dcterms:modified xsi:type="dcterms:W3CDTF">2025-11-05T18:18:08Z</dcterms:modified>
</cp:coreProperties>
</file>